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7\Neue Daten\"/>
    </mc:Choice>
  </mc:AlternateContent>
  <bookViews>
    <workbookView xWindow="1350" yWindow="90" windowWidth="18510" windowHeight="12765"/>
  </bookViews>
  <sheets>
    <sheet name="07_10_2013-14" sheetId="13" r:id="rId1"/>
    <sheet name="07_10_2014-15" sheetId="15" r:id="rId2"/>
    <sheet name="07_10_2015-16" sheetId="17" r:id="rId3"/>
    <sheet name="07_10_2016-17" sheetId="18" r:id="rId4"/>
    <sheet name="07_10_2017-18" sheetId="21" r:id="rId5"/>
    <sheet name="07_10_2018-19" sheetId="20" r:id="rId6"/>
    <sheet name="07_10_2019-20" sheetId="19" r:id="rId7"/>
    <sheet name="07_10_2020-21" sheetId="22" r:id="rId8"/>
    <sheet name="07_10_2021-22" sheetId="23" r:id="rId9"/>
    <sheet name="07_10_2022-23" sheetId="24" r:id="rId10"/>
  </sheets>
  <definedNames>
    <definedName name="_Regression_Int" localSheetId="0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</definedNames>
  <calcPr calcId="162913"/>
</workbook>
</file>

<file path=xl/calcChain.xml><?xml version="1.0" encoding="utf-8"?>
<calcChain xmlns="http://schemas.openxmlformats.org/spreadsheetml/2006/main">
  <c r="D9" i="24" l="1"/>
  <c r="G9" i="24"/>
  <c r="J9" i="24"/>
  <c r="N9" i="24"/>
  <c r="B10" i="24"/>
  <c r="C10" i="24"/>
  <c r="D10" i="24" s="1"/>
  <c r="E10" i="24"/>
  <c r="G10" i="24" s="1"/>
  <c r="F10" i="24"/>
  <c r="H10" i="24"/>
  <c r="I10" i="24"/>
  <c r="J10" i="24" s="1"/>
  <c r="L10" i="24"/>
  <c r="M10" i="24"/>
  <c r="N10" i="24"/>
  <c r="B11" i="24"/>
  <c r="C11" i="24"/>
  <c r="D11" i="24" s="1"/>
  <c r="E11" i="24"/>
  <c r="G11" i="24" s="1"/>
  <c r="F11" i="24"/>
  <c r="H11" i="24"/>
  <c r="I11" i="24"/>
  <c r="J11" i="24" s="1"/>
  <c r="L11" i="24"/>
  <c r="M11" i="24"/>
  <c r="N11" i="24"/>
  <c r="Q11" i="24"/>
  <c r="D12" i="24"/>
  <c r="G12" i="24"/>
  <c r="J12" i="24"/>
  <c r="N12" i="24"/>
  <c r="B13" i="24"/>
  <c r="B14" i="24" s="1"/>
  <c r="C13" i="24"/>
  <c r="D13" i="24"/>
  <c r="E13" i="24"/>
  <c r="F13" i="24"/>
  <c r="G13" i="24" s="1"/>
  <c r="H13" i="24"/>
  <c r="H14" i="24" s="1"/>
  <c r="H25" i="24" s="1"/>
  <c r="I13" i="24"/>
  <c r="L13" i="24"/>
  <c r="M13" i="24"/>
  <c r="N13" i="24" s="1"/>
  <c r="Q13" i="24"/>
  <c r="C14" i="24"/>
  <c r="E14" i="24"/>
  <c r="E25" i="24" s="1"/>
  <c r="I14" i="24"/>
  <c r="L14" i="24"/>
  <c r="L25" i="24" s="1"/>
  <c r="O14" i="24"/>
  <c r="P14" i="24"/>
  <c r="Q14" i="24" s="1"/>
  <c r="D15" i="24"/>
  <c r="G15" i="24"/>
  <c r="J15" i="24"/>
  <c r="N15" i="24"/>
  <c r="B16" i="24"/>
  <c r="C16" i="24"/>
  <c r="D16" i="24"/>
  <c r="E16" i="24"/>
  <c r="F16" i="24"/>
  <c r="G16" i="24" s="1"/>
  <c r="H16" i="24"/>
  <c r="J16" i="24" s="1"/>
  <c r="I16" i="24"/>
  <c r="L16" i="24"/>
  <c r="M16" i="24"/>
  <c r="N16" i="24" s="1"/>
  <c r="O16" i="24"/>
  <c r="P16" i="24"/>
  <c r="Q16" i="24"/>
  <c r="B17" i="24"/>
  <c r="C17" i="24"/>
  <c r="D17" i="24" s="1"/>
  <c r="E17" i="24"/>
  <c r="E20" i="24" s="1"/>
  <c r="F17" i="24"/>
  <c r="H17" i="24"/>
  <c r="I17" i="24"/>
  <c r="J17" i="24" s="1"/>
  <c r="L17" i="24"/>
  <c r="L20" i="24" s="1"/>
  <c r="M17" i="24"/>
  <c r="N17" i="24"/>
  <c r="B18" i="24"/>
  <c r="C18" i="24"/>
  <c r="D18" i="24" s="1"/>
  <c r="E18" i="24"/>
  <c r="G18" i="24" s="1"/>
  <c r="F18" i="24"/>
  <c r="H18" i="24"/>
  <c r="I18" i="24"/>
  <c r="J18" i="24" s="1"/>
  <c r="L18" i="24"/>
  <c r="M18" i="24"/>
  <c r="N18" i="24"/>
  <c r="O18" i="24"/>
  <c r="P18" i="24"/>
  <c r="P20" i="24" s="1"/>
  <c r="Q20" i="24" s="1"/>
  <c r="B19" i="24"/>
  <c r="C19" i="24"/>
  <c r="D19" i="24" s="1"/>
  <c r="E19" i="24"/>
  <c r="F19" i="24"/>
  <c r="G19" i="24"/>
  <c r="H19" i="24"/>
  <c r="I19" i="24"/>
  <c r="J19" i="24" s="1"/>
  <c r="L19" i="24"/>
  <c r="N19" i="24" s="1"/>
  <c r="M19" i="24"/>
  <c r="O19" i="24"/>
  <c r="P19" i="24"/>
  <c r="Q19" i="24" s="1"/>
  <c r="B20" i="24"/>
  <c r="F20" i="24"/>
  <c r="G20" i="24" s="1"/>
  <c r="H20" i="24"/>
  <c r="M20" i="24"/>
  <c r="N20" i="24" s="1"/>
  <c r="O20" i="24"/>
  <c r="D21" i="24"/>
  <c r="G21" i="24"/>
  <c r="J21" i="24"/>
  <c r="N21" i="24"/>
  <c r="Q21" i="24"/>
  <c r="B22" i="24"/>
  <c r="B24" i="24" s="1"/>
  <c r="C22" i="24"/>
  <c r="D22" i="24"/>
  <c r="E22" i="24"/>
  <c r="F22" i="24"/>
  <c r="G22" i="24" s="1"/>
  <c r="H22" i="24"/>
  <c r="H24" i="24" s="1"/>
  <c r="I22" i="24"/>
  <c r="L22" i="24"/>
  <c r="M22" i="24"/>
  <c r="N22" i="24" s="1"/>
  <c r="B23" i="24"/>
  <c r="C23" i="24"/>
  <c r="D23" i="24"/>
  <c r="E23" i="24"/>
  <c r="F23" i="24"/>
  <c r="G23" i="24" s="1"/>
  <c r="H23" i="24"/>
  <c r="J23" i="24" s="1"/>
  <c r="I23" i="24"/>
  <c r="L23" i="24"/>
  <c r="M23" i="24"/>
  <c r="N23" i="24" s="1"/>
  <c r="Q23" i="24"/>
  <c r="C24" i="24"/>
  <c r="E24" i="24"/>
  <c r="I24" i="24"/>
  <c r="J24" i="24" s="1"/>
  <c r="L24" i="24"/>
  <c r="O24" i="24"/>
  <c r="P24" i="24"/>
  <c r="Q24" i="24" s="1"/>
  <c r="O25" i="24"/>
  <c r="D24" i="24" l="1"/>
  <c r="B25" i="24"/>
  <c r="D14" i="24"/>
  <c r="P25" i="24"/>
  <c r="Q25" i="24" s="1"/>
  <c r="F24" i="24"/>
  <c r="G24" i="24" s="1"/>
  <c r="C20" i="24"/>
  <c r="D20" i="24" s="1"/>
  <c r="J14" i="24"/>
  <c r="F14" i="24"/>
  <c r="J13" i="24"/>
  <c r="J22" i="24"/>
  <c r="G17" i="24"/>
  <c r="M24" i="24"/>
  <c r="N24" i="24" s="1"/>
  <c r="I20" i="24"/>
  <c r="J20" i="24" s="1"/>
  <c r="M14" i="24"/>
  <c r="P25" i="20"/>
  <c r="P24" i="20"/>
  <c r="O23" i="20"/>
  <c r="O25" i="20" s="1"/>
  <c r="Q25" i="20" s="1"/>
  <c r="Q23" i="20"/>
  <c r="M23" i="20"/>
  <c r="L23" i="20"/>
  <c r="J23" i="20"/>
  <c r="I23" i="20"/>
  <c r="H23" i="20"/>
  <c r="F23" i="20"/>
  <c r="G23" i="20"/>
  <c r="E23" i="20"/>
  <c r="C23" i="20"/>
  <c r="B23" i="20"/>
  <c r="B24" i="20" s="1"/>
  <c r="O22" i="20"/>
  <c r="Q22" i="20" s="1"/>
  <c r="M22" i="20"/>
  <c r="L22" i="20"/>
  <c r="L24" i="20" s="1"/>
  <c r="N24" i="20" s="1"/>
  <c r="I22" i="20"/>
  <c r="H22" i="20"/>
  <c r="F22" i="20"/>
  <c r="F24" i="20" s="1"/>
  <c r="G24" i="20" s="1"/>
  <c r="G22" i="20"/>
  <c r="E22" i="20"/>
  <c r="E24" i="20"/>
  <c r="C22" i="20"/>
  <c r="C24" i="20" s="1"/>
  <c r="B22" i="20"/>
  <c r="Q21" i="20"/>
  <c r="N21" i="20"/>
  <c r="J21" i="20"/>
  <c r="G21" i="20"/>
  <c r="D21" i="20"/>
  <c r="P20" i="20"/>
  <c r="O19" i="20"/>
  <c r="Q19" i="20"/>
  <c r="M19" i="20"/>
  <c r="L19" i="20"/>
  <c r="N19" i="20"/>
  <c r="J19" i="20"/>
  <c r="I19" i="20"/>
  <c r="H19" i="20"/>
  <c r="F19" i="20"/>
  <c r="G19" i="20"/>
  <c r="E19" i="20"/>
  <c r="C19" i="20"/>
  <c r="B19" i="20"/>
  <c r="D19" i="20" s="1"/>
  <c r="O18" i="20"/>
  <c r="Q18" i="20" s="1"/>
  <c r="M18" i="20"/>
  <c r="N18" i="20" s="1"/>
  <c r="L18" i="20"/>
  <c r="I18" i="20"/>
  <c r="J18" i="20"/>
  <c r="H18" i="20"/>
  <c r="F18" i="20"/>
  <c r="E18" i="20"/>
  <c r="G18" i="20"/>
  <c r="D18" i="20"/>
  <c r="C18" i="20"/>
  <c r="B18" i="20"/>
  <c r="O17" i="20"/>
  <c r="Q17" i="20" s="1"/>
  <c r="M17" i="20"/>
  <c r="L17" i="20"/>
  <c r="N17" i="20"/>
  <c r="J17" i="20"/>
  <c r="I17" i="20"/>
  <c r="H17" i="20"/>
  <c r="F17" i="20"/>
  <c r="E17" i="20"/>
  <c r="C17" i="20"/>
  <c r="D17" i="20"/>
  <c r="B17" i="20"/>
  <c r="Q16" i="20"/>
  <c r="O16" i="20"/>
  <c r="O20" i="20"/>
  <c r="Q20" i="20" s="1"/>
  <c r="M16" i="20"/>
  <c r="M20" i="20" s="1"/>
  <c r="N20" i="20" s="1"/>
  <c r="L16" i="20"/>
  <c r="L20" i="20"/>
  <c r="I16" i="20"/>
  <c r="H16" i="20"/>
  <c r="H20" i="20" s="1"/>
  <c r="J20" i="20" s="1"/>
  <c r="F16" i="20"/>
  <c r="E16" i="20"/>
  <c r="G16" i="20"/>
  <c r="C16" i="20"/>
  <c r="D16" i="20" s="1"/>
  <c r="C20" i="20"/>
  <c r="B16" i="20"/>
  <c r="Q15" i="20"/>
  <c r="N15" i="20"/>
  <c r="J15" i="20"/>
  <c r="G15" i="20"/>
  <c r="D15" i="20"/>
  <c r="P14" i="20"/>
  <c r="O13" i="20"/>
  <c r="Q13" i="20" s="1"/>
  <c r="M13" i="20"/>
  <c r="L13" i="20"/>
  <c r="N13" i="20" s="1"/>
  <c r="I13" i="20"/>
  <c r="H13" i="20"/>
  <c r="H14" i="20" s="1"/>
  <c r="F13" i="20"/>
  <c r="G13" i="20" s="1"/>
  <c r="E13" i="20"/>
  <c r="C13" i="20"/>
  <c r="D13" i="20"/>
  <c r="B13" i="20"/>
  <c r="Q12" i="20"/>
  <c r="N12" i="20"/>
  <c r="J12" i="20"/>
  <c r="G12" i="20"/>
  <c r="D12" i="20"/>
  <c r="O11" i="20"/>
  <c r="Q11" i="20"/>
  <c r="M11" i="20"/>
  <c r="N11" i="20" s="1"/>
  <c r="L11" i="20"/>
  <c r="I11" i="20"/>
  <c r="H11" i="20"/>
  <c r="F11" i="20"/>
  <c r="G11" i="20" s="1"/>
  <c r="E11" i="20"/>
  <c r="C11" i="20"/>
  <c r="D11" i="20" s="1"/>
  <c r="B11" i="20"/>
  <c r="O10" i="20"/>
  <c r="M10" i="20"/>
  <c r="M14" i="20" s="1"/>
  <c r="L10" i="20"/>
  <c r="I10" i="20"/>
  <c r="H10" i="20"/>
  <c r="F10" i="20"/>
  <c r="E10" i="20"/>
  <c r="E14" i="20" s="1"/>
  <c r="C10" i="20"/>
  <c r="C14" i="20" s="1"/>
  <c r="B10" i="20"/>
  <c r="Q9" i="20"/>
  <c r="N9" i="20"/>
  <c r="J9" i="20"/>
  <c r="G9" i="20"/>
  <c r="D9" i="20"/>
  <c r="D9" i="18"/>
  <c r="G9" i="18"/>
  <c r="J9" i="18"/>
  <c r="N9" i="18"/>
  <c r="Q9" i="18"/>
  <c r="B10" i="18"/>
  <c r="B14" i="18" s="1"/>
  <c r="C10" i="18"/>
  <c r="D10" i="18" s="1"/>
  <c r="E10" i="18"/>
  <c r="G10" i="18" s="1"/>
  <c r="F10" i="18"/>
  <c r="H10" i="18"/>
  <c r="L10" i="18"/>
  <c r="M10" i="18"/>
  <c r="N10" i="18"/>
  <c r="Q10" i="18"/>
  <c r="B11" i="18"/>
  <c r="C11" i="18"/>
  <c r="D11" i="18"/>
  <c r="E11" i="18"/>
  <c r="F11" i="18"/>
  <c r="G11" i="18" s="1"/>
  <c r="H11" i="18"/>
  <c r="I11" i="18"/>
  <c r="J11" i="18" s="1"/>
  <c r="L11" i="18"/>
  <c r="L14" i="18"/>
  <c r="M11" i="18"/>
  <c r="N11" i="18" s="1"/>
  <c r="Q11" i="18"/>
  <c r="D12" i="18"/>
  <c r="G12" i="18"/>
  <c r="J12" i="18"/>
  <c r="N12" i="18"/>
  <c r="Q12" i="18"/>
  <c r="B13" i="18"/>
  <c r="D13" i="18" s="1"/>
  <c r="C13" i="18"/>
  <c r="E13" i="18"/>
  <c r="E14" i="18" s="1"/>
  <c r="F13" i="18"/>
  <c r="H13" i="18"/>
  <c r="I13" i="18"/>
  <c r="J13" i="18"/>
  <c r="L13" i="18"/>
  <c r="M13" i="18"/>
  <c r="N13" i="18"/>
  <c r="Q13" i="18"/>
  <c r="F14" i="18"/>
  <c r="M14" i="18"/>
  <c r="O14" i="18"/>
  <c r="P14" i="18"/>
  <c r="D15" i="18"/>
  <c r="G15" i="18"/>
  <c r="J15" i="18"/>
  <c r="N15" i="18"/>
  <c r="Q15" i="18"/>
  <c r="B16" i="18"/>
  <c r="C16" i="18"/>
  <c r="D16" i="18"/>
  <c r="E16" i="18"/>
  <c r="F16" i="18"/>
  <c r="H16" i="18"/>
  <c r="I16" i="18"/>
  <c r="J16" i="18" s="1"/>
  <c r="L16" i="18"/>
  <c r="M16" i="18"/>
  <c r="N16" i="18" s="1"/>
  <c r="Q16" i="18"/>
  <c r="B17" i="18"/>
  <c r="C17" i="18"/>
  <c r="D17" i="18" s="1"/>
  <c r="E17" i="18"/>
  <c r="F17" i="18"/>
  <c r="H17" i="18"/>
  <c r="I17" i="18"/>
  <c r="J17" i="18"/>
  <c r="L17" i="18"/>
  <c r="M17" i="18"/>
  <c r="N17" i="18"/>
  <c r="Q17" i="18"/>
  <c r="B18" i="18"/>
  <c r="C18" i="18"/>
  <c r="D18" i="18"/>
  <c r="E18" i="18"/>
  <c r="F18" i="18"/>
  <c r="H18" i="18"/>
  <c r="I18" i="18"/>
  <c r="J18" i="18" s="1"/>
  <c r="L18" i="18"/>
  <c r="M18" i="18"/>
  <c r="N18" i="18" s="1"/>
  <c r="Q18" i="18"/>
  <c r="B19" i="18"/>
  <c r="C19" i="18"/>
  <c r="D19" i="18" s="1"/>
  <c r="E19" i="18"/>
  <c r="F19" i="18"/>
  <c r="G19" i="18"/>
  <c r="H19" i="18"/>
  <c r="I19" i="18"/>
  <c r="J19" i="18" s="1"/>
  <c r="L19" i="18"/>
  <c r="M19" i="18"/>
  <c r="N19" i="18" s="1"/>
  <c r="Q19" i="18"/>
  <c r="B20" i="18"/>
  <c r="M20" i="18"/>
  <c r="O20" i="18"/>
  <c r="P20" i="18"/>
  <c r="Q20" i="18" s="1"/>
  <c r="D21" i="18"/>
  <c r="G21" i="18"/>
  <c r="J21" i="18"/>
  <c r="N21" i="18"/>
  <c r="Q21" i="18"/>
  <c r="B22" i="18"/>
  <c r="B24" i="18" s="1"/>
  <c r="C22" i="18"/>
  <c r="E22" i="18"/>
  <c r="E24" i="18" s="1"/>
  <c r="F22" i="18"/>
  <c r="H22" i="18"/>
  <c r="I22" i="18"/>
  <c r="I24" i="18" s="1"/>
  <c r="J22" i="18"/>
  <c r="L22" i="18"/>
  <c r="M22" i="18"/>
  <c r="N22" i="18"/>
  <c r="O22" i="18"/>
  <c r="B23" i="18"/>
  <c r="C23" i="18"/>
  <c r="E23" i="18"/>
  <c r="F23" i="18"/>
  <c r="G23" i="18"/>
  <c r="H23" i="18"/>
  <c r="I23" i="18"/>
  <c r="J23" i="18" s="1"/>
  <c r="L23" i="18"/>
  <c r="L24" i="18" s="1"/>
  <c r="M23" i="18"/>
  <c r="N23" i="18" s="1"/>
  <c r="H24" i="18"/>
  <c r="M24" i="18"/>
  <c r="N24" i="18" s="1"/>
  <c r="P24" i="18"/>
  <c r="P25" i="18" s="1"/>
  <c r="D9" i="17"/>
  <c r="G9" i="17"/>
  <c r="J9" i="17"/>
  <c r="N9" i="17"/>
  <c r="Q9" i="17"/>
  <c r="B10" i="17"/>
  <c r="B14" i="17" s="1"/>
  <c r="C10" i="17"/>
  <c r="C14" i="17"/>
  <c r="D14" i="17" s="1"/>
  <c r="E10" i="17"/>
  <c r="F10" i="17"/>
  <c r="H10" i="17"/>
  <c r="H14" i="17" s="1"/>
  <c r="I10" i="17"/>
  <c r="L10" i="17"/>
  <c r="M10" i="17"/>
  <c r="N10" i="17"/>
  <c r="O10" i="17"/>
  <c r="B11" i="17"/>
  <c r="C11" i="17"/>
  <c r="D11" i="17" s="1"/>
  <c r="E11" i="17"/>
  <c r="F11" i="17"/>
  <c r="G11" i="17" s="1"/>
  <c r="H11" i="17"/>
  <c r="I11" i="17"/>
  <c r="J11" i="17" s="1"/>
  <c r="L11" i="17"/>
  <c r="N11" i="17" s="1"/>
  <c r="M11" i="17"/>
  <c r="O11" i="17"/>
  <c r="O14" i="17" s="1"/>
  <c r="Q11" i="17"/>
  <c r="D12" i="17"/>
  <c r="G12" i="17"/>
  <c r="J12" i="17"/>
  <c r="N12" i="17"/>
  <c r="Q12" i="17"/>
  <c r="B13" i="17"/>
  <c r="C13" i="17"/>
  <c r="D13" i="17"/>
  <c r="E13" i="17"/>
  <c r="F13" i="17"/>
  <c r="G13" i="17" s="1"/>
  <c r="H13" i="17"/>
  <c r="J13" i="17" s="1"/>
  <c r="I13" i="17"/>
  <c r="L13" i="17"/>
  <c r="M13" i="17"/>
  <c r="O13" i="17"/>
  <c r="Q13" i="17"/>
  <c r="L14" i="17"/>
  <c r="D15" i="17"/>
  <c r="G15" i="17"/>
  <c r="J15" i="17"/>
  <c r="N15" i="17"/>
  <c r="Q15" i="17"/>
  <c r="B16" i="17"/>
  <c r="C16" i="17"/>
  <c r="E16" i="17"/>
  <c r="E20" i="17" s="1"/>
  <c r="F16" i="17"/>
  <c r="H16" i="17"/>
  <c r="I16" i="17"/>
  <c r="I20" i="17" s="1"/>
  <c r="L16" i="17"/>
  <c r="M16" i="17"/>
  <c r="N16" i="17"/>
  <c r="O16" i="17"/>
  <c r="Q16" i="17" s="1"/>
  <c r="B17" i="17"/>
  <c r="C17" i="17"/>
  <c r="D17" i="17" s="1"/>
  <c r="E17" i="17"/>
  <c r="F17" i="17"/>
  <c r="G17" i="17"/>
  <c r="H17" i="17"/>
  <c r="I17" i="17"/>
  <c r="L17" i="17"/>
  <c r="M17" i="17"/>
  <c r="O17" i="17"/>
  <c r="Q17" i="17" s="1"/>
  <c r="B18" i="17"/>
  <c r="C18" i="17"/>
  <c r="D18" i="17"/>
  <c r="E18" i="17"/>
  <c r="G18" i="17" s="1"/>
  <c r="F18" i="17"/>
  <c r="H18" i="17"/>
  <c r="J18" i="17" s="1"/>
  <c r="I18" i="17"/>
  <c r="L18" i="17"/>
  <c r="M18" i="17"/>
  <c r="O18" i="17"/>
  <c r="Q18" i="17"/>
  <c r="B19" i="17"/>
  <c r="D19" i="17" s="1"/>
  <c r="C19" i="17"/>
  <c r="E19" i="17"/>
  <c r="F19" i="17"/>
  <c r="H19" i="17"/>
  <c r="I19" i="17"/>
  <c r="J19" i="17"/>
  <c r="L19" i="17"/>
  <c r="N19" i="17" s="1"/>
  <c r="M19" i="17"/>
  <c r="O19" i="17"/>
  <c r="Q19" i="17"/>
  <c r="P20" i="17"/>
  <c r="D21" i="17"/>
  <c r="G21" i="17"/>
  <c r="J21" i="17"/>
  <c r="N21" i="17"/>
  <c r="Q21" i="17"/>
  <c r="B22" i="17"/>
  <c r="C22" i="17"/>
  <c r="E22" i="17"/>
  <c r="F22" i="17"/>
  <c r="H22" i="17"/>
  <c r="H24" i="17"/>
  <c r="I22" i="17"/>
  <c r="L22" i="17"/>
  <c r="M22" i="17"/>
  <c r="N22" i="17"/>
  <c r="O22" i="17"/>
  <c r="Q22" i="17"/>
  <c r="B23" i="17"/>
  <c r="D23" i="17"/>
  <c r="C23" i="17"/>
  <c r="E23" i="17"/>
  <c r="F23" i="17"/>
  <c r="G23" i="17"/>
  <c r="H23" i="17"/>
  <c r="I23" i="17"/>
  <c r="J23" i="17"/>
  <c r="L23" i="17"/>
  <c r="M23" i="17"/>
  <c r="Q23" i="17"/>
  <c r="C24" i="17"/>
  <c r="O24" i="17"/>
  <c r="P24" i="17"/>
  <c r="D9" i="15"/>
  <c r="G9" i="15"/>
  <c r="J9" i="15"/>
  <c r="N9" i="15"/>
  <c r="Q9" i="15"/>
  <c r="B10" i="15"/>
  <c r="C10" i="15"/>
  <c r="E10" i="15"/>
  <c r="E14" i="15" s="1"/>
  <c r="F10" i="15"/>
  <c r="H10" i="15"/>
  <c r="I10" i="15"/>
  <c r="I14" i="15" s="1"/>
  <c r="J14" i="15" s="1"/>
  <c r="L10" i="15"/>
  <c r="M10" i="15"/>
  <c r="N10" i="15"/>
  <c r="O10" i="15"/>
  <c r="P10" i="15"/>
  <c r="B11" i="15"/>
  <c r="C11" i="15"/>
  <c r="D11" i="15" s="1"/>
  <c r="E11" i="15"/>
  <c r="G11" i="15"/>
  <c r="F11" i="15"/>
  <c r="H11" i="15"/>
  <c r="I11" i="15"/>
  <c r="J11" i="15"/>
  <c r="L11" i="15"/>
  <c r="N11" i="15" s="1"/>
  <c r="M11" i="15"/>
  <c r="O11" i="15"/>
  <c r="P11" i="15"/>
  <c r="D12" i="15"/>
  <c r="G12" i="15"/>
  <c r="J12" i="15"/>
  <c r="N12" i="15"/>
  <c r="Q12" i="15"/>
  <c r="B13" i="15"/>
  <c r="C13" i="15"/>
  <c r="D13" i="15" s="1"/>
  <c r="E13" i="15"/>
  <c r="F13" i="15"/>
  <c r="G13" i="15" s="1"/>
  <c r="H13" i="15"/>
  <c r="I13" i="15"/>
  <c r="J13" i="15"/>
  <c r="L13" i="15"/>
  <c r="N13" i="15" s="1"/>
  <c r="M13" i="15"/>
  <c r="O13" i="15"/>
  <c r="P13" i="15"/>
  <c r="H14" i="15"/>
  <c r="L14" i="15"/>
  <c r="N14" i="15"/>
  <c r="M14" i="15"/>
  <c r="D15" i="15"/>
  <c r="G15" i="15"/>
  <c r="J15" i="15"/>
  <c r="N15" i="15"/>
  <c r="Q15" i="15"/>
  <c r="B16" i="15"/>
  <c r="C16" i="15"/>
  <c r="D16" i="15"/>
  <c r="E16" i="15"/>
  <c r="F16" i="15"/>
  <c r="G16" i="15"/>
  <c r="H16" i="15"/>
  <c r="J16" i="15" s="1"/>
  <c r="I16" i="15"/>
  <c r="L16" i="15"/>
  <c r="L20" i="15" s="1"/>
  <c r="M16" i="15"/>
  <c r="O16" i="15"/>
  <c r="P16" i="15"/>
  <c r="Q16" i="15"/>
  <c r="B17" i="15"/>
  <c r="C17" i="15"/>
  <c r="D17" i="15"/>
  <c r="E17" i="15"/>
  <c r="F17" i="15"/>
  <c r="H17" i="15"/>
  <c r="J17" i="15" s="1"/>
  <c r="I17" i="15"/>
  <c r="L17" i="15"/>
  <c r="M17" i="15"/>
  <c r="O17" i="15"/>
  <c r="P17" i="15"/>
  <c r="Q17" i="15"/>
  <c r="B18" i="15"/>
  <c r="C18" i="15"/>
  <c r="E18" i="15"/>
  <c r="G18" i="15"/>
  <c r="F18" i="15"/>
  <c r="H18" i="15"/>
  <c r="I18" i="15"/>
  <c r="I20" i="15" s="1"/>
  <c r="J18" i="15"/>
  <c r="L18" i="15"/>
  <c r="M18" i="15"/>
  <c r="N18" i="15"/>
  <c r="O18" i="15"/>
  <c r="P18" i="15"/>
  <c r="B19" i="15"/>
  <c r="C19" i="15"/>
  <c r="E19" i="15"/>
  <c r="F19" i="15"/>
  <c r="F20" i="15" s="1"/>
  <c r="G19" i="15"/>
  <c r="H19" i="15"/>
  <c r="I19" i="15"/>
  <c r="J19" i="15"/>
  <c r="L19" i="15"/>
  <c r="N19" i="15" s="1"/>
  <c r="M19" i="15"/>
  <c r="O19" i="15"/>
  <c r="P19" i="15"/>
  <c r="C20" i="15"/>
  <c r="P20" i="15"/>
  <c r="D21" i="15"/>
  <c r="G21" i="15"/>
  <c r="J21" i="15"/>
  <c r="N21" i="15"/>
  <c r="Q21" i="15"/>
  <c r="B22" i="15"/>
  <c r="C22" i="15"/>
  <c r="D22" i="15"/>
  <c r="E22" i="15"/>
  <c r="F22" i="15"/>
  <c r="H22" i="15"/>
  <c r="H24" i="15" s="1"/>
  <c r="I22" i="15"/>
  <c r="L22" i="15"/>
  <c r="M22" i="15"/>
  <c r="O22" i="15"/>
  <c r="P22" i="15"/>
  <c r="Q22" i="15"/>
  <c r="B23" i="15"/>
  <c r="D23" i="15" s="1"/>
  <c r="C23" i="15"/>
  <c r="E23" i="15"/>
  <c r="F23" i="15"/>
  <c r="G23" i="15" s="1"/>
  <c r="H23" i="15"/>
  <c r="I23" i="15"/>
  <c r="J23" i="15" s="1"/>
  <c r="L23" i="15"/>
  <c r="M23" i="15"/>
  <c r="N23" i="15"/>
  <c r="O23" i="15"/>
  <c r="P23" i="15"/>
  <c r="B24" i="15"/>
  <c r="C24" i="15"/>
  <c r="F24" i="15"/>
  <c r="L24" i="15"/>
  <c r="L25" i="15" s="1"/>
  <c r="P24" i="15"/>
  <c r="B9" i="13"/>
  <c r="C9" i="13"/>
  <c r="D9" i="13" s="1"/>
  <c r="G9" i="13"/>
  <c r="J9" i="13"/>
  <c r="N9" i="13"/>
  <c r="Q9" i="13"/>
  <c r="B10" i="13"/>
  <c r="C10" i="13"/>
  <c r="D10" i="13"/>
  <c r="E10" i="13"/>
  <c r="F10" i="13"/>
  <c r="G10" i="13" s="1"/>
  <c r="H10" i="13"/>
  <c r="I10" i="13"/>
  <c r="J10" i="13" s="1"/>
  <c r="L10" i="13"/>
  <c r="M10" i="13"/>
  <c r="N10" i="13"/>
  <c r="O10" i="13"/>
  <c r="P10" i="13"/>
  <c r="Q10" i="13"/>
  <c r="B11" i="13"/>
  <c r="B14" i="13" s="1"/>
  <c r="C11" i="13"/>
  <c r="D11" i="13" s="1"/>
  <c r="E11" i="13"/>
  <c r="E14" i="13"/>
  <c r="F11" i="13"/>
  <c r="G11" i="13" s="1"/>
  <c r="H11" i="13"/>
  <c r="I11" i="13"/>
  <c r="L11" i="13"/>
  <c r="L14" i="13"/>
  <c r="M11" i="13"/>
  <c r="N11" i="13" s="1"/>
  <c r="O11" i="13"/>
  <c r="P11" i="13"/>
  <c r="Q11" i="13"/>
  <c r="B12" i="13"/>
  <c r="C12" i="13"/>
  <c r="D12" i="13"/>
  <c r="G12" i="13"/>
  <c r="J12" i="13"/>
  <c r="N12" i="13"/>
  <c r="Q12" i="13"/>
  <c r="B13" i="13"/>
  <c r="C13" i="13"/>
  <c r="D13" i="13" s="1"/>
  <c r="E13" i="13"/>
  <c r="F13" i="13"/>
  <c r="G13" i="13" s="1"/>
  <c r="H13" i="13"/>
  <c r="I13" i="13"/>
  <c r="J13" i="13" s="1"/>
  <c r="L13" i="13"/>
  <c r="M13" i="13"/>
  <c r="N13" i="13"/>
  <c r="O13" i="13"/>
  <c r="O14" i="13" s="1"/>
  <c r="P13" i="13"/>
  <c r="Q13" i="13" s="1"/>
  <c r="F14" i="13"/>
  <c r="G14" i="13" s="1"/>
  <c r="M14" i="13"/>
  <c r="N14" i="13" s="1"/>
  <c r="B15" i="13"/>
  <c r="D15" i="13" s="1"/>
  <c r="C15" i="13"/>
  <c r="G15" i="13"/>
  <c r="J15" i="13"/>
  <c r="N15" i="13"/>
  <c r="O15" i="13"/>
  <c r="P15" i="13"/>
  <c r="Q15" i="13"/>
  <c r="B16" i="13"/>
  <c r="C16" i="13"/>
  <c r="D16" i="13"/>
  <c r="E16" i="13"/>
  <c r="F16" i="13"/>
  <c r="H16" i="13"/>
  <c r="I16" i="13"/>
  <c r="J16" i="13" s="1"/>
  <c r="L16" i="13"/>
  <c r="L20" i="13" s="1"/>
  <c r="M16" i="13"/>
  <c r="O16" i="13"/>
  <c r="P16" i="13"/>
  <c r="Q16" i="13"/>
  <c r="B17" i="13"/>
  <c r="C17" i="13"/>
  <c r="D17" i="13"/>
  <c r="E17" i="13"/>
  <c r="G17" i="13" s="1"/>
  <c r="F17" i="13"/>
  <c r="H17" i="13"/>
  <c r="J17" i="13" s="1"/>
  <c r="I17" i="13"/>
  <c r="L17" i="13"/>
  <c r="N17" i="13" s="1"/>
  <c r="M17" i="13"/>
  <c r="O17" i="13"/>
  <c r="P17" i="13"/>
  <c r="Q17" i="13" s="1"/>
  <c r="B18" i="13"/>
  <c r="D18" i="13" s="1"/>
  <c r="C18" i="13"/>
  <c r="E18" i="13"/>
  <c r="F18" i="13"/>
  <c r="G18" i="13" s="1"/>
  <c r="H18" i="13"/>
  <c r="I18" i="13"/>
  <c r="J18" i="13"/>
  <c r="L18" i="13"/>
  <c r="M18" i="13"/>
  <c r="N18" i="13" s="1"/>
  <c r="O18" i="13"/>
  <c r="P18" i="13"/>
  <c r="Q18" i="13" s="1"/>
  <c r="B19" i="13"/>
  <c r="C19" i="13"/>
  <c r="D19" i="13"/>
  <c r="E19" i="13"/>
  <c r="F19" i="13"/>
  <c r="G19" i="13"/>
  <c r="H19" i="13"/>
  <c r="I19" i="13"/>
  <c r="L19" i="13"/>
  <c r="M19" i="13"/>
  <c r="N19" i="13"/>
  <c r="O19" i="13"/>
  <c r="P19" i="13"/>
  <c r="Q19" i="13"/>
  <c r="B20" i="13"/>
  <c r="M20" i="13"/>
  <c r="O20" i="13"/>
  <c r="B21" i="13"/>
  <c r="C21" i="13"/>
  <c r="D21" i="13" s="1"/>
  <c r="G21" i="13"/>
  <c r="J21" i="13"/>
  <c r="N21" i="13"/>
  <c r="O21" i="13"/>
  <c r="P21" i="13"/>
  <c r="Q21" i="13"/>
  <c r="B22" i="13"/>
  <c r="C22" i="13"/>
  <c r="D22" i="13"/>
  <c r="E22" i="13"/>
  <c r="E24" i="13" s="1"/>
  <c r="F22" i="13"/>
  <c r="H22" i="13"/>
  <c r="I22" i="13"/>
  <c r="I24" i="13" s="1"/>
  <c r="J22" i="13"/>
  <c r="L22" i="13"/>
  <c r="M22" i="13"/>
  <c r="M24" i="13" s="1"/>
  <c r="N24" i="13" s="1"/>
  <c r="N22" i="13"/>
  <c r="O22" i="13"/>
  <c r="P22" i="13"/>
  <c r="B23" i="13"/>
  <c r="B24" i="13" s="1"/>
  <c r="C23" i="13"/>
  <c r="D23" i="13" s="1"/>
  <c r="E23" i="13"/>
  <c r="F23" i="13"/>
  <c r="G23" i="13" s="1"/>
  <c r="H23" i="13"/>
  <c r="J23" i="13" s="1"/>
  <c r="I23" i="13"/>
  <c r="L23" i="13"/>
  <c r="L24" i="13"/>
  <c r="M23" i="13"/>
  <c r="N23" i="13"/>
  <c r="O23" i="13"/>
  <c r="P23" i="13"/>
  <c r="Q23" i="13" s="1"/>
  <c r="F24" i="13"/>
  <c r="H24" i="13"/>
  <c r="M25" i="13"/>
  <c r="P24" i="13"/>
  <c r="C24" i="13"/>
  <c r="P20" i="13"/>
  <c r="Q20" i="13" s="1"/>
  <c r="C20" i="13"/>
  <c r="D20" i="13" s="1"/>
  <c r="P14" i="13"/>
  <c r="I14" i="13"/>
  <c r="C14" i="13"/>
  <c r="Q14" i="13"/>
  <c r="J22" i="17"/>
  <c r="O20" i="17"/>
  <c r="B20" i="17"/>
  <c r="E14" i="17"/>
  <c r="D10" i="17"/>
  <c r="F24" i="17"/>
  <c r="M14" i="17"/>
  <c r="N14" i="17"/>
  <c r="Q10" i="17"/>
  <c r="Q14" i="17"/>
  <c r="G10" i="17"/>
  <c r="I24" i="17"/>
  <c r="J24" i="17" s="1"/>
  <c r="M24" i="17"/>
  <c r="J17" i="17"/>
  <c r="D16" i="17"/>
  <c r="N14" i="18"/>
  <c r="M25" i="18"/>
  <c r="C20" i="18"/>
  <c r="D20" i="18" s="1"/>
  <c r="C14" i="18"/>
  <c r="D14" i="18" s="1"/>
  <c r="J11" i="20"/>
  <c r="N16" i="20"/>
  <c r="E20" i="20"/>
  <c r="I20" i="20"/>
  <c r="N22" i="20"/>
  <c r="F25" i="20"/>
  <c r="H24" i="20"/>
  <c r="O24" i="20"/>
  <c r="Q24" i="20"/>
  <c r="M24" i="20"/>
  <c r="N14" i="24" l="1"/>
  <c r="M25" i="24"/>
  <c r="N25" i="24" s="1"/>
  <c r="F25" i="24"/>
  <c r="G25" i="24" s="1"/>
  <c r="G14" i="24"/>
  <c r="C25" i="24"/>
  <c r="D25" i="24" s="1"/>
  <c r="I25" i="24"/>
  <c r="J25" i="24" s="1"/>
  <c r="G25" i="20"/>
  <c r="M24" i="15"/>
  <c r="N22" i="15"/>
  <c r="G10" i="15"/>
  <c r="F14" i="15"/>
  <c r="G14" i="15" s="1"/>
  <c r="J10" i="17"/>
  <c r="I14" i="17"/>
  <c r="B25" i="20"/>
  <c r="P25" i="13"/>
  <c r="J24" i="13"/>
  <c r="Q11" i="15"/>
  <c r="P14" i="15"/>
  <c r="G19" i="17"/>
  <c r="F20" i="17"/>
  <c r="G20" i="17" s="1"/>
  <c r="G17" i="18"/>
  <c r="F20" i="18"/>
  <c r="F14" i="20"/>
  <c r="G14" i="20" s="1"/>
  <c r="G10" i="20"/>
  <c r="Q20" i="17"/>
  <c r="O25" i="17"/>
  <c r="G24" i="13"/>
  <c r="B25" i="13"/>
  <c r="Q20" i="15"/>
  <c r="Q18" i="15"/>
  <c r="O20" i="15"/>
  <c r="N17" i="17"/>
  <c r="L20" i="17"/>
  <c r="L25" i="17" s="1"/>
  <c r="B25" i="17"/>
  <c r="B14" i="20"/>
  <c r="D14" i="20" s="1"/>
  <c r="D10" i="20"/>
  <c r="Q10" i="20"/>
  <c r="O14" i="20"/>
  <c r="Q14" i="20" s="1"/>
  <c r="I25" i="20"/>
  <c r="J22" i="20"/>
  <c r="I24" i="20"/>
  <c r="J24" i="20" s="1"/>
  <c r="I25" i="13"/>
  <c r="O24" i="13"/>
  <c r="Q24" i="13" s="1"/>
  <c r="Q22" i="13"/>
  <c r="G14" i="18"/>
  <c r="E25" i="18"/>
  <c r="F20" i="20"/>
  <c r="G20" i="20" s="1"/>
  <c r="G17" i="20"/>
  <c r="D24" i="13"/>
  <c r="C25" i="13"/>
  <c r="D25" i="13" s="1"/>
  <c r="M20" i="15"/>
  <c r="N20" i="15" s="1"/>
  <c r="N17" i="15"/>
  <c r="C25" i="18"/>
  <c r="L25" i="20"/>
  <c r="D14" i="13"/>
  <c r="L25" i="13"/>
  <c r="N25" i="13" s="1"/>
  <c r="G16" i="13"/>
  <c r="E20" i="13"/>
  <c r="E25" i="13" s="1"/>
  <c r="H20" i="15"/>
  <c r="H25" i="15" s="1"/>
  <c r="B24" i="17"/>
  <c r="D24" i="17" s="1"/>
  <c r="D22" i="17"/>
  <c r="M20" i="17"/>
  <c r="N18" i="17"/>
  <c r="H14" i="18"/>
  <c r="J10" i="18"/>
  <c r="J10" i="20"/>
  <c r="I14" i="20"/>
  <c r="J14" i="20" s="1"/>
  <c r="N20" i="13"/>
  <c r="G22" i="15"/>
  <c r="E24" i="15"/>
  <c r="Q24" i="17"/>
  <c r="P25" i="17"/>
  <c r="Q25" i="17" s="1"/>
  <c r="E24" i="17"/>
  <c r="G22" i="17"/>
  <c r="B25" i="18"/>
  <c r="L14" i="20"/>
  <c r="N10" i="20"/>
  <c r="I20" i="13"/>
  <c r="Q23" i="15"/>
  <c r="O24" i="15"/>
  <c r="J22" i="15"/>
  <c r="I24" i="15"/>
  <c r="E20" i="15"/>
  <c r="G20" i="15" s="1"/>
  <c r="G17" i="15"/>
  <c r="J16" i="17"/>
  <c r="F14" i="17"/>
  <c r="G22" i="18"/>
  <c r="F24" i="18"/>
  <c r="G24" i="18" s="1"/>
  <c r="N14" i="20"/>
  <c r="D23" i="20"/>
  <c r="F25" i="15"/>
  <c r="Q10" i="15"/>
  <c r="O14" i="15"/>
  <c r="J20" i="17"/>
  <c r="D23" i="18"/>
  <c r="C24" i="18"/>
  <c r="D24" i="18" s="1"/>
  <c r="D24" i="20"/>
  <c r="I14" i="18"/>
  <c r="I20" i="18"/>
  <c r="H20" i="13"/>
  <c r="H14" i="13"/>
  <c r="J14" i="13" s="1"/>
  <c r="G24" i="15"/>
  <c r="D20" i="15"/>
  <c r="J10" i="15"/>
  <c r="N23" i="17"/>
  <c r="L24" i="17"/>
  <c r="N24" i="17" s="1"/>
  <c r="H20" i="17"/>
  <c r="H25" i="17" s="1"/>
  <c r="C20" i="17"/>
  <c r="D20" i="17" s="1"/>
  <c r="G16" i="18"/>
  <c r="E20" i="18"/>
  <c r="D22" i="20"/>
  <c r="M25" i="20"/>
  <c r="N25" i="20" s="1"/>
  <c r="C25" i="20"/>
  <c r="G22" i="13"/>
  <c r="J19" i="13"/>
  <c r="F20" i="13"/>
  <c r="G20" i="13" s="1"/>
  <c r="N16" i="13"/>
  <c r="D24" i="15"/>
  <c r="Q19" i="15"/>
  <c r="D18" i="15"/>
  <c r="B20" i="15"/>
  <c r="C14" i="15"/>
  <c r="Q22" i="18"/>
  <c r="O24" i="18"/>
  <c r="Q24" i="18" s="1"/>
  <c r="G18" i="18"/>
  <c r="L20" i="18"/>
  <c r="Q14" i="18"/>
  <c r="J13" i="20"/>
  <c r="H25" i="20"/>
  <c r="J11" i="13"/>
  <c r="B25" i="15"/>
  <c r="D19" i="15"/>
  <c r="J20" i="15"/>
  <c r="N16" i="15"/>
  <c r="Q13" i="15"/>
  <c r="D10" i="15"/>
  <c r="B14" i="15"/>
  <c r="G16" i="17"/>
  <c r="N13" i="17"/>
  <c r="J24" i="18"/>
  <c r="D22" i="18"/>
  <c r="H20" i="18"/>
  <c r="G13" i="18"/>
  <c r="E25" i="20"/>
  <c r="J16" i="20"/>
  <c r="B20" i="20"/>
  <c r="D20" i="20" s="1"/>
  <c r="N23" i="20"/>
  <c r="G14" i="17" l="1"/>
  <c r="F25" i="17"/>
  <c r="G25" i="17" s="1"/>
  <c r="G24" i="17"/>
  <c r="E25" i="17"/>
  <c r="D25" i="18"/>
  <c r="F25" i="13"/>
  <c r="G25" i="13" s="1"/>
  <c r="J20" i="13"/>
  <c r="I25" i="17"/>
  <c r="J25" i="17" s="1"/>
  <c r="J14" i="17"/>
  <c r="L25" i="18"/>
  <c r="N25" i="18" s="1"/>
  <c r="N20" i="18"/>
  <c r="D14" i="15"/>
  <c r="C25" i="15"/>
  <c r="D25" i="15" s="1"/>
  <c r="D25" i="20"/>
  <c r="J20" i="18"/>
  <c r="O25" i="15"/>
  <c r="Q24" i="15"/>
  <c r="P25" i="15"/>
  <c r="Q14" i="15"/>
  <c r="Q25" i="13"/>
  <c r="N24" i="15"/>
  <c r="M25" i="15"/>
  <c r="N25" i="15" s="1"/>
  <c r="J24" i="15"/>
  <c r="I25" i="15"/>
  <c r="J25" i="15" s="1"/>
  <c r="O25" i="18"/>
  <c r="Q25" i="18" s="1"/>
  <c r="H25" i="18"/>
  <c r="G20" i="18"/>
  <c r="F25" i="18"/>
  <c r="G25" i="18" s="1"/>
  <c r="H25" i="13"/>
  <c r="J25" i="13" s="1"/>
  <c r="I25" i="18"/>
  <c r="J14" i="18"/>
  <c r="E25" i="15"/>
  <c r="G25" i="15" s="1"/>
  <c r="N20" i="17"/>
  <c r="M25" i="17"/>
  <c r="N25" i="17" s="1"/>
  <c r="J25" i="20"/>
  <c r="C25" i="17"/>
  <c r="D25" i="17" s="1"/>
  <c r="O25" i="13"/>
  <c r="J25" i="18" l="1"/>
  <c r="Q25" i="15"/>
</calcChain>
</file>

<file path=xl/sharedStrings.xml><?xml version="1.0" encoding="utf-8"?>
<sst xmlns="http://schemas.openxmlformats.org/spreadsheetml/2006/main" count="694" uniqueCount="35">
  <si>
    <t>Kindergärten</t>
  </si>
  <si>
    <t xml:space="preserve">Grundschulen </t>
  </si>
  <si>
    <t>in %</t>
  </si>
  <si>
    <t>Datenquelle:</t>
  </si>
  <si>
    <t>Dokumentation der Prophylaxemaßnahmen</t>
  </si>
  <si>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</si>
  <si>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</si>
  <si>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</si>
  <si>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</si>
  <si>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</si>
  <si>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</si>
  <si>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</si>
  <si>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_____</t>
  </si>
  <si>
    <t>Landesarbeitsgemeinschaft für Jugendzahnpflege des Freistaates Sachsen e.V.</t>
  </si>
  <si>
    <t>weiterführenden 
Schulen</t>
  </si>
  <si>
    <t>Sonderschulen/
Fördereinrichtungen</t>
  </si>
  <si>
    <t xml:space="preserve">Kinder in ... </t>
  </si>
  <si>
    <t>die
erreicht
wurden</t>
  </si>
  <si>
    <t>ins-
gesamt</t>
  </si>
  <si>
    <t>Tagespflege</t>
  </si>
  <si>
    <t>Erzgebirgskreis</t>
  </si>
  <si>
    <t>Mittelsachsen</t>
  </si>
  <si>
    <t>Zwickau</t>
  </si>
  <si>
    <t>Görlitz</t>
  </si>
  <si>
    <t>Sächsische Schweiz-
  Osterzgebirge</t>
  </si>
  <si>
    <t>Leipzig</t>
  </si>
  <si>
    <t>Nordsachsen</t>
  </si>
  <si>
    <t xml:space="preserve"> </t>
  </si>
  <si>
    <t>Chemnitz,
  NUTS 2-Region</t>
  </si>
  <si>
    <t>Dresden,
  NUTS 2-Region</t>
  </si>
  <si>
    <t>Leipzig,
  NUTS 2-Region</t>
  </si>
  <si>
    <t>1) In der aktuellen Fassung der NUTS-Klassifikation (EU-Systematik der Gebietseinheiten für die Statistik) entsprechen 
    die NUTS 2-Regionen in Sachsen den ehemaligen Direktionsbezirken.</t>
  </si>
  <si>
    <r>
      <t>Kreisfreie Stadt
Landkreis
NUTS 2-Region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Land</t>
    </r>
  </si>
  <si>
    <r>
      <t>Kreisfreie Stadt
Landkreis
NUTS 2-Region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Land</t>
    </r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</si>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</sst>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General_)"/>
    <numFmt numFmtId="165" formatCode="0.0"/>
    <numFmt numFmtId="166" formatCode="0.0%"/>
    <numFmt numFmtId="167" formatCode="#,##0.0"/>
    <numFmt numFmtId="168" formatCode="#\ ##0&quot;    &quot;;;\-&quot;    &quot;"/>
    <numFmt numFmtId="169" formatCode="#\ ###\ ##0.0\ \ ;\-#\ ###\ ##0.0\ \ ;\-\ "/>
    <numFmt numFmtId="170" formatCode="#\ ###\ ##0.0\ ;\-#\ ###\ ##0.0\ ;\-"/>
    <numFmt numFmtId="171" formatCode="#\ ###\ ##0\ \ ;\-#\ ###\ ##0\ \ ;\-\ "/>
    <numFmt numFmtId="172" formatCode="0_ ;\-0\ "/>
    <numFmt numFmtId="173" formatCode="??0\ \ ;\-??0\ \ ;??\ \-\ \ ;@\ \ "/>
  </numFmts>
  <fonts count="15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vertAlign val="superscript"/>
      <sz val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164" fontId="0" fillId="0" borderId="0"/>
    <xf numFmtId="164" fontId="1" fillId="0" borderId="0"/>
    <xf numFmtId="0" fontId="1" fillId="0" borderId="0"/>
    <xf numFmtId="0" fontId="5" fillId="0" borderId="0"/>
  </cellStyleXfs>
  <cellXfs count="185">
    <xf numFmtId="164" fontId="0" fillId="0" borderId="0" xfId="0"/>
    <xf numFmtId="164" fontId="1" fillId="0" borderId="0" xfId="0" applyFont="1"/>
    <xf numFmtId="164" fontId="2" fillId="0" borderId="0" xfId="0" applyFont="1" applyAlignment="1">
      <alignment horizontal="centerContinuous"/>
    </xf>
    <xf numFmtId="164" fontId="2" fillId="0" borderId="0" xfId="0" applyFont="1" applyBorder="1"/>
    <xf numFmtId="164" fontId="3" fillId="0" borderId="0" xfId="0" applyFont="1"/>
    <xf numFmtId="164" fontId="4" fillId="0" borderId="0" xfId="0" applyFont="1"/>
    <xf numFmtId="164" fontId="5" fillId="0" borderId="0" xfId="0" applyFont="1" applyAlignment="1">
      <alignment horizontal="right" vertical="center"/>
    </xf>
    <xf numFmtId="164" fontId="5" fillId="0" borderId="0" xfId="0" applyFont="1" applyAlignment="1">
      <alignment horizontal="right"/>
    </xf>
    <xf numFmtId="164" fontId="3" fillId="0" borderId="1" xfId="0" applyFont="1" applyBorder="1" applyAlignment="1">
      <alignment horizontal="center" vertical="center" wrapText="1"/>
    </xf>
    <xf numFmtId="164" fontId="6" fillId="0" borderId="0" xfId="0" applyFont="1" applyBorder="1" applyAlignment="1">
      <alignment horizontal="left"/>
    </xf>
    <xf numFmtId="166" fontId="7" fillId="0" borderId="0" xfId="0" applyNumberFormat="1" applyFont="1"/>
    <xf numFmtId="166" fontId="1" fillId="0" borderId="0" xfId="0" applyNumberFormat="1" applyFont="1"/>
    <xf numFmtId="165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165" fontId="9" fillId="0" borderId="0" xfId="0" applyNumberFormat="1" applyFont="1"/>
    <xf numFmtId="166" fontId="3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4" fillId="0" borderId="0" xfId="0" applyNumberFormat="1" applyFont="1"/>
    <xf numFmtId="164" fontId="3" fillId="0" borderId="4" xfId="0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wrapText="1"/>
    </xf>
    <xf numFmtId="3" fontId="10" fillId="0" borderId="8" xfId="0" applyNumberFormat="1" applyFont="1" applyBorder="1" applyAlignment="1">
      <alignment wrapText="1"/>
    </xf>
    <xf numFmtId="3" fontId="10" fillId="0" borderId="9" xfId="0" applyNumberFormat="1" applyFont="1" applyBorder="1" applyAlignment="1">
      <alignment wrapText="1"/>
    </xf>
    <xf numFmtId="3" fontId="10" fillId="0" borderId="0" xfId="0" applyNumberFormat="1" applyFont="1" applyBorder="1" applyAlignment="1">
      <alignment wrapText="1"/>
    </xf>
    <xf numFmtId="164" fontId="6" fillId="0" borderId="2" xfId="0" applyFont="1" applyBorder="1" applyAlignment="1">
      <alignment wrapText="1"/>
    </xf>
    <xf numFmtId="168" fontId="6" fillId="0" borderId="0" xfId="0" applyNumberFormat="1" applyFont="1" applyAlignment="1">
      <alignment horizontal="right"/>
    </xf>
    <xf numFmtId="170" fontId="12" fillId="0" borderId="0" xfId="0" applyNumberFormat="1" applyFont="1" applyBorder="1" applyAlignment="1"/>
    <xf numFmtId="164" fontId="3" fillId="0" borderId="10" xfId="0" applyFont="1" applyBorder="1" applyAlignment="1">
      <alignment horizontal="center" vertical="center"/>
    </xf>
    <xf numFmtId="166" fontId="3" fillId="0" borderId="11" xfId="0" applyNumberFormat="1" applyFont="1" applyBorder="1" applyAlignment="1">
      <alignment horizontal="center" vertical="center"/>
    </xf>
    <xf numFmtId="171" fontId="7" fillId="0" borderId="0" xfId="0" applyNumberFormat="1" applyFont="1" applyBorder="1" applyAlignment="1"/>
    <xf numFmtId="164" fontId="4" fillId="0" borderId="0" xfId="0" applyFont="1" applyAlignment="1">
      <alignment wrapText="1"/>
    </xf>
    <xf numFmtId="164" fontId="5" fillId="0" borderId="0" xfId="0" applyFont="1"/>
    <xf numFmtId="166" fontId="5" fillId="0" borderId="0" xfId="0" applyNumberFormat="1" applyFont="1"/>
    <xf numFmtId="171" fontId="12" fillId="0" borderId="0" xfId="0" applyNumberFormat="1" applyFont="1" applyFill="1" applyBorder="1" applyAlignment="1"/>
    <xf numFmtId="169" fontId="7" fillId="0" borderId="0" xfId="0" applyNumberFormat="1" applyFont="1" applyBorder="1" applyAlignment="1"/>
    <xf numFmtId="0" fontId="6" fillId="0" borderId="2" xfId="3" applyFont="1" applyBorder="1"/>
    <xf numFmtId="170" fontId="7" fillId="0" borderId="0" xfId="0" applyNumberFormat="1" applyFont="1" applyBorder="1" applyAlignment="1"/>
    <xf numFmtId="3" fontId="6" fillId="0" borderId="0" xfId="0" applyNumberFormat="1" applyFont="1" applyBorder="1" applyAlignment="1">
      <alignment wrapText="1"/>
    </xf>
    <xf numFmtId="3" fontId="6" fillId="0" borderId="9" xfId="0" applyNumberFormat="1" applyFont="1" applyBorder="1" applyAlignment="1">
      <alignment wrapText="1"/>
    </xf>
    <xf numFmtId="171" fontId="12" fillId="0" borderId="0" xfId="0" applyNumberFormat="1" applyFont="1" applyBorder="1" applyAlignment="1"/>
    <xf numFmtId="168" fontId="11" fillId="0" borderId="0" xfId="0" applyNumberFormat="1" applyFont="1" applyAlignment="1">
      <alignment horizontal="right"/>
    </xf>
    <xf numFmtId="169" fontId="12" fillId="0" borderId="0" xfId="0" applyNumberFormat="1" applyFont="1" applyBorder="1" applyAlignment="1"/>
    <xf numFmtId="0" fontId="11" fillId="0" borderId="2" xfId="3" applyFont="1" applyBorder="1"/>
    <xf numFmtId="3" fontId="11" fillId="0" borderId="0" xfId="0" applyNumberFormat="1" applyFont="1" applyBorder="1" applyAlignment="1">
      <alignment wrapText="1"/>
    </xf>
    <xf numFmtId="3" fontId="11" fillId="0" borderId="9" xfId="0" applyNumberFormat="1" applyFont="1" applyBorder="1" applyAlignment="1">
      <alignment wrapText="1"/>
    </xf>
    <xf numFmtId="0" fontId="11" fillId="0" borderId="2" xfId="3" applyFont="1" applyBorder="1" applyAlignment="1">
      <alignment wrapText="1"/>
    </xf>
    <xf numFmtId="169" fontId="12" fillId="0" borderId="8" xfId="0" applyNumberFormat="1" applyFont="1" applyBorder="1" applyAlignment="1"/>
    <xf numFmtId="0" fontId="11" fillId="0" borderId="12" xfId="3" applyFont="1" applyBorder="1"/>
    <xf numFmtId="170" fontId="12" fillId="0" borderId="8" xfId="0" applyNumberFormat="1" applyFont="1" applyBorder="1" applyAlignment="1"/>
    <xf numFmtId="3" fontId="11" fillId="0" borderId="8" xfId="0" applyNumberFormat="1" applyFont="1" applyBorder="1" applyAlignment="1">
      <alignment wrapText="1"/>
    </xf>
    <xf numFmtId="3" fontId="11" fillId="0" borderId="7" xfId="0" applyNumberFormat="1" applyFont="1" applyBorder="1" applyAlignment="1">
      <alignment wrapText="1"/>
    </xf>
    <xf numFmtId="166" fontId="4" fillId="0" borderId="11" xfId="0" applyNumberFormat="1" applyFont="1" applyBorder="1" applyAlignment="1">
      <alignment horizontal="center" vertical="center"/>
    </xf>
    <xf numFmtId="164" fontId="4" fillId="0" borderId="1" xfId="0" applyFont="1" applyBorder="1" applyAlignment="1">
      <alignment horizontal="center" vertical="center" wrapText="1"/>
    </xf>
    <xf numFmtId="164" fontId="4" fillId="0" borderId="4" xfId="0" applyFont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4" fontId="4" fillId="0" borderId="10" xfId="0" applyFont="1" applyBorder="1" applyAlignment="1">
      <alignment horizontal="center" vertical="center"/>
    </xf>
    <xf numFmtId="164" fontId="14" fillId="0" borderId="0" xfId="0" applyFont="1" applyBorder="1"/>
    <xf numFmtId="164" fontId="14" fillId="0" borderId="0" xfId="0" applyFont="1" applyAlignment="1">
      <alignment horizontal="centerContinuous"/>
    </xf>
    <xf numFmtId="164" fontId="1" fillId="0" borderId="0" xfId="1"/>
    <xf numFmtId="166" fontId="1" fillId="0" borderId="0" xfId="1" applyNumberFormat="1"/>
    <xf numFmtId="164" fontId="1" fillId="0" borderId="0" xfId="1" applyFont="1"/>
    <xf numFmtId="166" fontId="3" fillId="0" borderId="0" xfId="1" applyNumberFormat="1" applyFont="1"/>
    <xf numFmtId="164" fontId="3" fillId="0" borderId="0" xfId="1" applyFont="1"/>
    <xf numFmtId="164" fontId="1" fillId="0" borderId="0" xfId="1" applyFont="1" applyAlignment="1">
      <alignment horizontal="right"/>
    </xf>
    <xf numFmtId="164" fontId="1" fillId="0" borderId="0" xfId="1" applyFont="1" applyAlignment="1">
      <alignment horizontal="right" vertical="center"/>
    </xf>
    <xf numFmtId="164" fontId="3" fillId="0" borderId="0" xfId="1" applyFont="1" applyAlignment="1">
      <alignment wrapText="1"/>
    </xf>
    <xf numFmtId="166" fontId="1" fillId="0" borderId="0" xfId="1" applyNumberFormat="1" applyFont="1"/>
    <xf numFmtId="171" fontId="12" fillId="0" borderId="0" xfId="1" applyNumberFormat="1" applyFont="1" applyFill="1" applyBorder="1" applyAlignment="1"/>
    <xf numFmtId="166" fontId="7" fillId="0" borderId="0" xfId="1" applyNumberFormat="1" applyFont="1"/>
    <xf numFmtId="3" fontId="9" fillId="0" borderId="0" xfId="1" applyNumberFormat="1" applyFont="1"/>
    <xf numFmtId="164" fontId="6" fillId="0" borderId="0" xfId="1" applyFont="1" applyBorder="1" applyAlignment="1">
      <alignment horizontal="left"/>
    </xf>
    <xf numFmtId="165" fontId="9" fillId="0" borderId="0" xfId="1" applyNumberFormat="1" applyFont="1"/>
    <xf numFmtId="165" fontId="8" fillId="0" borderId="0" xfId="1" applyNumberFormat="1" applyFont="1"/>
    <xf numFmtId="166" fontId="9" fillId="0" borderId="0" xfId="1" applyNumberFormat="1" applyFont="1"/>
    <xf numFmtId="172" fontId="7" fillId="0" borderId="0" xfId="1" applyNumberFormat="1" applyFont="1" applyBorder="1" applyAlignment="1">
      <alignment horizontal="right" indent="1"/>
    </xf>
    <xf numFmtId="3" fontId="6" fillId="0" borderId="0" xfId="1" applyNumberFormat="1" applyFont="1" applyBorder="1" applyAlignment="1">
      <alignment horizontal="right" indent="1"/>
    </xf>
    <xf numFmtId="167" fontId="7" fillId="0" borderId="0" xfId="1" applyNumberFormat="1" applyFont="1" applyBorder="1" applyAlignment="1">
      <alignment horizontal="right" indent="1"/>
    </xf>
    <xf numFmtId="3" fontId="6" fillId="0" borderId="9" xfId="1" applyNumberFormat="1" applyFont="1" applyBorder="1" applyAlignment="1">
      <alignment horizontal="right" indent="1"/>
    </xf>
    <xf numFmtId="0" fontId="6" fillId="0" borderId="0" xfId="2" applyFont="1" applyBorder="1"/>
    <xf numFmtId="170" fontId="7" fillId="0" borderId="0" xfId="1" applyNumberFormat="1" applyFont="1" applyBorder="1" applyAlignment="1"/>
    <xf numFmtId="3" fontId="6" fillId="0" borderId="0" xfId="1" applyNumberFormat="1" applyFont="1" applyBorder="1" applyAlignment="1">
      <alignment wrapText="1"/>
    </xf>
    <xf numFmtId="3" fontId="6" fillId="0" borderId="9" xfId="1" applyNumberFormat="1" applyFont="1" applyBorder="1" applyAlignment="1">
      <alignment wrapText="1"/>
    </xf>
    <xf numFmtId="164" fontId="6" fillId="0" borderId="0" xfId="1" applyFont="1" applyBorder="1" applyAlignment="1">
      <alignment wrapText="1"/>
    </xf>
    <xf numFmtId="172" fontId="12" fillId="0" borderId="0" xfId="1" applyNumberFormat="1" applyFont="1" applyBorder="1" applyAlignment="1">
      <alignment horizontal="right" indent="1"/>
    </xf>
    <xf numFmtId="3" fontId="10" fillId="0" borderId="0" xfId="1" applyNumberFormat="1" applyFont="1" applyBorder="1" applyAlignment="1">
      <alignment horizontal="right" indent="1"/>
    </xf>
    <xf numFmtId="167" fontId="12" fillId="0" borderId="0" xfId="1" applyNumberFormat="1" applyFont="1" applyBorder="1" applyAlignment="1">
      <alignment horizontal="right" indent="1"/>
    </xf>
    <xf numFmtId="3" fontId="10" fillId="0" borderId="9" xfId="1" applyNumberFormat="1" applyFont="1" applyBorder="1" applyAlignment="1">
      <alignment horizontal="right" indent="1"/>
    </xf>
    <xf numFmtId="0" fontId="10" fillId="0" borderId="0" xfId="2" applyFont="1" applyBorder="1"/>
    <xf numFmtId="170" fontId="12" fillId="0" borderId="0" xfId="1" applyNumberFormat="1" applyFont="1" applyBorder="1" applyAlignment="1"/>
    <xf numFmtId="3" fontId="10" fillId="0" borderId="0" xfId="1" applyNumberFormat="1" applyFont="1" applyBorder="1" applyAlignment="1">
      <alignment wrapText="1"/>
    </xf>
    <xf numFmtId="3" fontId="10" fillId="0" borderId="9" xfId="1" applyNumberFormat="1" applyFont="1" applyBorder="1" applyAlignment="1">
      <alignment wrapText="1"/>
    </xf>
    <xf numFmtId="3" fontId="10" fillId="0" borderId="0" xfId="1" applyNumberFormat="1" applyFont="1" applyAlignment="1">
      <alignment horizontal="right" indent="1"/>
    </xf>
    <xf numFmtId="0" fontId="10" fillId="0" borderId="2" xfId="2" applyFont="1" applyBorder="1" applyAlignment="1">
      <alignment wrapText="1"/>
    </xf>
    <xf numFmtId="0" fontId="10" fillId="0" borderId="2" xfId="2" applyFont="1" applyBorder="1"/>
    <xf numFmtId="164" fontId="6" fillId="0" borderId="2" xfId="1" applyFont="1" applyBorder="1" applyAlignment="1">
      <alignment wrapText="1"/>
    </xf>
    <xf numFmtId="0" fontId="10" fillId="0" borderId="12" xfId="2" applyFont="1" applyBorder="1"/>
    <xf numFmtId="3" fontId="10" fillId="0" borderId="8" xfId="1" applyNumberFormat="1" applyFont="1" applyBorder="1" applyAlignment="1">
      <alignment wrapText="1"/>
    </xf>
    <xf numFmtId="3" fontId="10" fillId="0" borderId="7" xfId="1" applyNumberFormat="1" applyFont="1" applyBorder="1" applyAlignment="1">
      <alignment wrapText="1"/>
    </xf>
    <xf numFmtId="166" fontId="3" fillId="0" borderId="11" xfId="1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4" fontId="3" fillId="0" borderId="4" xfId="1" applyFont="1" applyBorder="1" applyAlignment="1">
      <alignment horizontal="center" vertical="center" wrapText="1"/>
    </xf>
    <xf numFmtId="166" fontId="3" fillId="0" borderId="6" xfId="1" applyNumberFormat="1" applyFont="1" applyBorder="1" applyAlignment="1">
      <alignment horizontal="center" vertical="center"/>
    </xf>
    <xf numFmtId="166" fontId="3" fillId="0" borderId="5" xfId="1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164" fontId="3" fillId="0" borderId="10" xfId="1" applyFont="1" applyBorder="1" applyAlignment="1">
      <alignment horizontal="center" vertical="center"/>
    </xf>
    <xf numFmtId="164" fontId="2" fillId="0" borderId="0" xfId="1" applyFont="1" applyBorder="1"/>
    <xf numFmtId="164" fontId="2" fillId="0" borderId="0" xfId="1" applyFont="1" applyAlignment="1">
      <alignment horizontal="centerContinuous"/>
    </xf>
    <xf numFmtId="166" fontId="3" fillId="0" borderId="0" xfId="0" applyNumberFormat="1" applyFont="1"/>
    <xf numFmtId="164" fontId="1" fillId="0" borderId="0" xfId="0" applyFont="1" applyAlignment="1">
      <alignment horizontal="right"/>
    </xf>
    <xf numFmtId="164" fontId="1" fillId="0" borderId="0" xfId="0" applyFont="1" applyAlignment="1">
      <alignment horizontal="right" vertical="center"/>
    </xf>
    <xf numFmtId="164" fontId="3" fillId="0" borderId="0" xfId="0" applyFont="1" applyAlignment="1">
      <alignment wrapText="1"/>
    </xf>
    <xf numFmtId="172" fontId="7" fillId="0" borderId="0" xfId="0" applyNumberFormat="1" applyFont="1" applyBorder="1" applyAlignment="1">
      <alignment horizontal="right" indent="1"/>
    </xf>
    <xf numFmtId="3" fontId="6" fillId="0" borderId="0" xfId="0" applyNumberFormat="1" applyFont="1" applyBorder="1" applyAlignment="1">
      <alignment horizontal="right" indent="1"/>
    </xf>
    <xf numFmtId="167" fontId="7" fillId="0" borderId="0" xfId="0" applyNumberFormat="1" applyFont="1" applyBorder="1" applyAlignment="1">
      <alignment horizontal="right" indent="1"/>
    </xf>
    <xf numFmtId="3" fontId="6" fillId="0" borderId="9" xfId="0" applyNumberFormat="1" applyFont="1" applyBorder="1" applyAlignment="1">
      <alignment horizontal="right" indent="1"/>
    </xf>
    <xf numFmtId="164" fontId="6" fillId="0" borderId="0" xfId="0" applyFont="1" applyBorder="1" applyAlignment="1">
      <alignment wrapText="1"/>
    </xf>
    <xf numFmtId="172" fontId="12" fillId="0" borderId="0" xfId="0" applyNumberFormat="1" applyFont="1" applyBorder="1" applyAlignment="1">
      <alignment horizontal="right" indent="1"/>
    </xf>
    <xf numFmtId="3" fontId="10" fillId="0" borderId="0" xfId="0" applyNumberFormat="1" applyFont="1" applyBorder="1" applyAlignment="1">
      <alignment horizontal="right" indent="1"/>
    </xf>
    <xf numFmtId="167" fontId="12" fillId="0" borderId="0" xfId="0" applyNumberFormat="1" applyFont="1" applyBorder="1" applyAlignment="1">
      <alignment horizontal="right" indent="1"/>
    </xf>
    <xf numFmtId="3" fontId="10" fillId="0" borderId="9" xfId="0" applyNumberFormat="1" applyFont="1" applyBorder="1" applyAlignment="1">
      <alignment horizontal="right" indent="1"/>
    </xf>
    <xf numFmtId="3" fontId="10" fillId="0" borderId="0" xfId="0" applyNumberFormat="1" applyFont="1" applyAlignment="1">
      <alignment horizontal="right" indent="1"/>
    </xf>
    <xf numFmtId="164" fontId="3" fillId="0" borderId="1" xfId="0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/>
    </xf>
    <xf numFmtId="165" fontId="12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 wrapText="1"/>
    </xf>
    <xf numFmtId="164" fontId="3" fillId="0" borderId="1" xfId="0" applyFont="1" applyBorder="1" applyAlignment="1">
      <alignment horizontal="center" vertical="center" wrapText="1"/>
    </xf>
    <xf numFmtId="164" fontId="3" fillId="0" borderId="1" xfId="0" applyFont="1" applyBorder="1" applyAlignment="1">
      <alignment horizontal="center" vertical="center" wrapText="1"/>
    </xf>
    <xf numFmtId="171" fontId="12" fillId="0" borderId="0" xfId="0" applyNumberFormat="1" applyFont="1"/>
    <xf numFmtId="164" fontId="6" fillId="0" borderId="0" xfId="0" applyFont="1" applyAlignment="1">
      <alignment horizontal="left"/>
    </xf>
    <xf numFmtId="173" fontId="7" fillId="0" borderId="0" xfId="0" applyNumberFormat="1" applyFont="1" applyAlignment="1">
      <alignment horizontal="right" indent="1"/>
    </xf>
    <xf numFmtId="173" fontId="6" fillId="0" borderId="0" xfId="0" applyNumberFormat="1" applyFont="1" applyAlignment="1">
      <alignment horizontal="right" indent="1"/>
    </xf>
    <xf numFmtId="167" fontId="7" fillId="0" borderId="0" xfId="0" applyNumberFormat="1" applyFont="1" applyAlignment="1">
      <alignment horizontal="right" indent="1"/>
    </xf>
    <xf numFmtId="3" fontId="6" fillId="0" borderId="0" xfId="0" applyNumberFormat="1" applyFont="1" applyFill="1" applyBorder="1" applyAlignment="1">
      <alignment horizontal="right" indent="1"/>
    </xf>
    <xf numFmtId="3" fontId="6" fillId="0" borderId="9" xfId="0" applyNumberFormat="1" applyFont="1" applyFill="1" applyBorder="1" applyAlignment="1">
      <alignment horizontal="right" indent="1"/>
    </xf>
    <xf numFmtId="0" fontId="6" fillId="0" borderId="0" xfId="2" applyFont="1"/>
    <xf numFmtId="170" fontId="7" fillId="0" borderId="0" xfId="0" applyNumberFormat="1" applyFont="1"/>
    <xf numFmtId="3" fontId="6" fillId="0" borderId="0" xfId="0" applyNumberFormat="1" applyFont="1" applyAlignment="1">
      <alignment wrapText="1"/>
    </xf>
    <xf numFmtId="164" fontId="6" fillId="0" borderId="0" xfId="0" applyFont="1" applyAlignment="1">
      <alignment wrapText="1"/>
    </xf>
    <xf numFmtId="173" fontId="12" fillId="0" borderId="0" xfId="0" applyNumberFormat="1" applyFont="1" applyAlignment="1">
      <alignment horizontal="right" indent="1"/>
    </xf>
    <xf numFmtId="173" fontId="10" fillId="0" borderId="0" xfId="0" applyNumberFormat="1" applyFont="1" applyAlignment="1">
      <alignment horizontal="right" indent="1"/>
    </xf>
    <xf numFmtId="167" fontId="12" fillId="0" borderId="0" xfId="0" applyNumberFormat="1" applyFont="1" applyAlignment="1">
      <alignment horizontal="right" indent="1"/>
    </xf>
    <xf numFmtId="0" fontId="10" fillId="0" borderId="0" xfId="2" applyFont="1"/>
    <xf numFmtId="170" fontId="12" fillId="0" borderId="0" xfId="0" applyNumberFormat="1" applyFont="1"/>
    <xf numFmtId="3" fontId="10" fillId="0" borderId="0" xfId="0" applyNumberFormat="1" applyFont="1" applyAlignment="1">
      <alignment wrapText="1"/>
    </xf>
    <xf numFmtId="164" fontId="2" fillId="0" borderId="0" xfId="0" applyFont="1"/>
    <xf numFmtId="3" fontId="6" fillId="0" borderId="0" xfId="0" applyNumberFormat="1" applyFont="1" applyAlignment="1">
      <alignment horizontal="right" indent="1"/>
    </xf>
    <xf numFmtId="3" fontId="6" fillId="0" borderId="0" xfId="0" applyNumberFormat="1" applyFont="1" applyFill="1" applyAlignment="1">
      <alignment wrapText="1"/>
    </xf>
    <xf numFmtId="173" fontId="12" fillId="0" borderId="0" xfId="0" applyNumberFormat="1" applyFont="1" applyFill="1" applyAlignment="1">
      <alignment horizontal="right" indent="1"/>
    </xf>
    <xf numFmtId="164" fontId="4" fillId="0" borderId="11" xfId="0" applyFont="1" applyBorder="1" applyAlignment="1">
      <alignment horizontal="center" vertical="center" wrapText="1"/>
    </xf>
    <xf numFmtId="164" fontId="4" fillId="0" borderId="3" xfId="0" applyFont="1" applyBorder="1" applyAlignment="1">
      <alignment horizontal="center" vertical="center" wrapText="1"/>
    </xf>
    <xf numFmtId="164" fontId="4" fillId="0" borderId="0" xfId="0" applyFont="1" applyAlignment="1">
      <alignment horizontal="left" wrapText="1"/>
    </xf>
    <xf numFmtId="164" fontId="4" fillId="0" borderId="12" xfId="0" applyFont="1" applyBorder="1" applyAlignment="1">
      <alignment horizontal="center" vertical="center" wrapText="1"/>
    </xf>
    <xf numFmtId="164" fontId="4" fillId="0" borderId="2" xfId="0" applyFont="1" applyBorder="1" applyAlignment="1">
      <alignment horizontal="center" vertical="center" wrapText="1"/>
    </xf>
    <xf numFmtId="164" fontId="4" fillId="0" borderId="1" xfId="0" applyFont="1" applyBorder="1" applyAlignment="1">
      <alignment horizontal="center" vertical="center" wrapText="1"/>
    </xf>
    <xf numFmtId="164" fontId="4" fillId="0" borderId="5" xfId="0" applyFont="1" applyBorder="1" applyAlignment="1">
      <alignment horizontal="center" vertical="center" wrapText="1"/>
    </xf>
    <xf numFmtId="164" fontId="4" fillId="0" borderId="13" xfId="0" applyFont="1" applyBorder="1" applyAlignment="1">
      <alignment horizontal="center" vertical="center" wrapText="1"/>
    </xf>
    <xf numFmtId="164" fontId="4" fillId="0" borderId="13" xfId="0" applyFont="1" applyBorder="1" applyAlignment="1">
      <alignment horizontal="center" vertical="center"/>
    </xf>
    <xf numFmtId="164" fontId="4" fillId="0" borderId="5" xfId="0" applyFont="1" applyBorder="1" applyAlignment="1">
      <alignment horizontal="center" vertical="center"/>
    </xf>
    <xf numFmtId="164" fontId="4" fillId="0" borderId="1" xfId="0" applyFont="1" applyBorder="1" applyAlignment="1">
      <alignment horizontal="center" vertical="center"/>
    </xf>
    <xf numFmtId="164" fontId="3" fillId="0" borderId="12" xfId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164" fontId="3" fillId="0" borderId="11" xfId="1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 wrapText="1"/>
    </xf>
    <xf numFmtId="164" fontId="3" fillId="0" borderId="0" xfId="1" applyFont="1" applyAlignment="1">
      <alignment horizontal="left" wrapText="1"/>
    </xf>
    <xf numFmtId="164" fontId="3" fillId="0" borderId="5" xfId="1" applyFont="1" applyBorder="1" applyAlignment="1">
      <alignment horizontal="center" vertical="center" wrapText="1"/>
    </xf>
    <xf numFmtId="164" fontId="3" fillId="0" borderId="13" xfId="1" applyFont="1" applyBorder="1" applyAlignment="1">
      <alignment horizontal="center" vertical="center" wrapText="1"/>
    </xf>
    <xf numFmtId="164" fontId="3" fillId="0" borderId="13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164" fontId="3" fillId="0" borderId="0" xfId="0" applyFont="1" applyAlignment="1">
      <alignment horizontal="left" wrapText="1"/>
    </xf>
    <xf numFmtId="164" fontId="3" fillId="0" borderId="11" xfId="0" applyFont="1" applyBorder="1" applyAlignment="1">
      <alignment horizontal="center" vertical="center" wrapText="1"/>
    </xf>
    <xf numFmtId="164" fontId="3" fillId="0" borderId="3" xfId="0" applyFont="1" applyBorder="1" applyAlignment="1">
      <alignment horizontal="center" vertical="center" wrapText="1"/>
    </xf>
    <xf numFmtId="164" fontId="3" fillId="0" borderId="12" xfId="0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 wrapText="1"/>
    </xf>
    <xf numFmtId="164" fontId="3" fillId="0" borderId="1" xfId="0" applyFont="1" applyBorder="1" applyAlignment="1">
      <alignment horizontal="center" vertical="center" wrapText="1"/>
    </xf>
    <xf numFmtId="164" fontId="3" fillId="0" borderId="5" xfId="0" applyFont="1" applyBorder="1" applyAlignment="1">
      <alignment horizontal="center" vertical="center" wrapText="1"/>
    </xf>
    <xf numFmtId="164" fontId="3" fillId="0" borderId="13" xfId="0" applyFont="1" applyBorder="1" applyAlignment="1">
      <alignment horizontal="center" vertical="center" wrapText="1"/>
    </xf>
    <xf numFmtId="164" fontId="3" fillId="0" borderId="13" xfId="0" applyFont="1" applyBorder="1" applyAlignment="1">
      <alignment horizontal="center" vertical="center"/>
    </xf>
    <xf numFmtId="164" fontId="3" fillId="0" borderId="5" xfId="0" applyFont="1" applyBorder="1" applyAlignment="1">
      <alignment horizontal="center" vertical="center"/>
    </xf>
    <xf numFmtId="164" fontId="3" fillId="0" borderId="1" xfId="0" applyFont="1" applyBorder="1" applyAlignment="1">
      <alignment horizontal="center" vertical="center"/>
    </xf>
  </cellXfs>
  <cellStyles count="4">
    <cellStyle name="Standard" xfId="0" builtinId="0"/>
    <cellStyle name="Standard 2" xfId="1"/>
    <cellStyle name="Standard_Tab1" xfId="2"/>
    <cellStyle name="Standard_Tab1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9</xdr:col>
      <xdr:colOff>295275</xdr:colOff>
      <xdr:row>4</xdr:row>
      <xdr:rowOff>38100</xdr:rowOff>
    </xdr:to>
    <xdr:grpSp>
      <xdr:nvGrpSpPr>
        <xdr:cNvPr id="72775" name="Gruppieren 5"/>
        <xdr:cNvGrpSpPr>
          <a:grpSpLocks/>
        </xdr:cNvGrpSpPr>
      </xdr:nvGrpSpPr>
      <xdr:grpSpPr bwMode="auto">
        <a:xfrm>
          <a:off x="38100" y="28575"/>
          <a:ext cx="5638800" cy="619125"/>
          <a:chOff x="37201" y="28575"/>
          <a:chExt cx="5638810" cy="619125"/>
        </a:xfrm>
      </xdr:grpSpPr>
      <xdr:sp macro="" textlink="">
        <xdr:nvSpPr>
          <xdr:cNvPr id="2" name="Text 2"/>
          <xdr:cNvSpPr txBox="1">
            <a:spLocks noChangeArrowheads="1"/>
          </xdr:cNvSpPr>
        </xdr:nvSpPr>
        <xdr:spPr bwMode="auto">
          <a:xfrm>
            <a:off x="37201" y="28575"/>
            <a:ext cx="1000127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7.10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3" name="Text 3"/>
          <xdr:cNvSpPr txBox="1">
            <a:spLocks noChangeArrowheads="1"/>
          </xdr:cNvSpPr>
        </xdr:nvSpPr>
        <xdr:spPr bwMode="auto">
          <a:xfrm>
            <a:off x="1351653" y="38100"/>
            <a:ext cx="4324358" cy="590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Anteil der durch Karies-Prophylaxemaßnahmen in der Gruppen-prophylaxe erreichten Kinder in Sachsen im Schuljahr 2013/2014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nach Kreisfreien Städten und Landkreisen sowie Einrichtungstyp</a:t>
            </a:r>
          </a:p>
        </xdr:txBody>
      </xdr:sp>
    </xdr:grpSp>
    <xdr:clientData/>
  </xdr:twoCellAnchor>
  <xdr:twoCellAnchor>
    <xdr:from>
      <xdr:col>10</xdr:col>
      <xdr:colOff>38100</xdr:colOff>
      <xdr:row>0</xdr:row>
      <xdr:rowOff>28575</xdr:rowOff>
    </xdr:from>
    <xdr:to>
      <xdr:col>16</xdr:col>
      <xdr:colOff>485775</xdr:colOff>
      <xdr:row>4</xdr:row>
      <xdr:rowOff>38100</xdr:rowOff>
    </xdr:to>
    <xdr:grpSp>
      <xdr:nvGrpSpPr>
        <xdr:cNvPr id="72776" name="Gruppieren 6"/>
        <xdr:cNvGrpSpPr>
          <a:grpSpLocks/>
        </xdr:cNvGrpSpPr>
      </xdr:nvGrpSpPr>
      <xdr:grpSpPr bwMode="auto">
        <a:xfrm>
          <a:off x="5838825" y="28575"/>
          <a:ext cx="5505450" cy="619125"/>
          <a:chOff x="5837926" y="28575"/>
          <a:chExt cx="5504571" cy="619125"/>
        </a:xfrm>
      </xdr:grpSpPr>
      <xdr:sp macro="" textlink="">
        <xdr:nvSpPr>
          <xdr:cNvPr id="4" name="Text 3"/>
          <xdr:cNvSpPr txBox="1">
            <a:spLocks noChangeArrowheads="1"/>
          </xdr:cNvSpPr>
        </xdr:nvSpPr>
        <xdr:spPr bwMode="auto">
          <a:xfrm>
            <a:off x="7190260" y="57150"/>
            <a:ext cx="4152237" cy="590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Anteil der durch Karies-Prophylaxemaßnahmen in der Gruppen-    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prophylaxe erreichten Kinder in Sachsen im Schuljahr 2013/2014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nach Kreisfreien Städten und Landkreisen sowie Einrichtungstyp</a:t>
            </a:r>
          </a:p>
        </xdr:txBody>
      </xdr:sp>
      <xdr:sp macro="" textlink="">
        <xdr:nvSpPr>
          <xdr:cNvPr id="5" name="Text 2"/>
          <xdr:cNvSpPr txBox="1">
            <a:spLocks noChangeArrowheads="1"/>
          </xdr:cNvSpPr>
        </xdr:nvSpPr>
        <xdr:spPr bwMode="auto">
          <a:xfrm>
            <a:off x="5837926" y="28575"/>
            <a:ext cx="99996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7.10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30480</xdr:rowOff>
    </xdr:from>
    <xdr:to>
      <xdr:col>9</xdr:col>
      <xdr:colOff>327660</xdr:colOff>
      <xdr:row>4</xdr:row>
      <xdr:rowOff>38100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GrpSpPr>
          <a:grpSpLocks/>
        </xdr:cNvGrpSpPr>
      </xdr:nvGrpSpPr>
      <xdr:grpSpPr bwMode="auto">
        <a:xfrm>
          <a:off x="45720" y="30480"/>
          <a:ext cx="5406390" cy="617220"/>
          <a:chOff x="45827" y="28575"/>
          <a:chExt cx="5372119" cy="619125"/>
        </a:xfrm>
      </xdr:grpSpPr>
      <xdr:sp macro="" textlink="">
        <xdr:nvSpPr>
          <xdr:cNvPr id="3" name="Text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27" y="28575"/>
            <a:ext cx="987468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7.10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8061" y="36219"/>
            <a:ext cx="4089885" cy="59619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Anteil der durch Karies-Prophylaxemaßnahmen in der Gruppen-prophylaxe erreichten Kinder in Sachsen im Schuljahr 2022/2023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nach Kreisfreien Städten und Landkreisen sowie Einrichtungstyp</a:t>
            </a:r>
          </a:p>
        </xdr:txBody>
      </xdr:sp>
    </xdr:grpSp>
    <xdr:clientData/>
  </xdr:twoCellAnchor>
  <xdr:twoCellAnchor>
    <xdr:from>
      <xdr:col>10</xdr:col>
      <xdr:colOff>342900</xdr:colOff>
      <xdr:row>0</xdr:row>
      <xdr:rowOff>0</xdr:rowOff>
    </xdr:from>
    <xdr:to>
      <xdr:col>16</xdr:col>
      <xdr:colOff>662940</xdr:colOff>
      <xdr:row>4</xdr:row>
      <xdr:rowOff>38100</xdr:rowOff>
    </xdr:to>
    <xdr:grpSp>
      <xdr:nvGrpSpPr>
        <xdr:cNvPr id="5" name="Gruppieren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GrpSpPr>
          <a:grpSpLocks/>
        </xdr:cNvGrpSpPr>
      </xdr:nvGrpSpPr>
      <xdr:grpSpPr bwMode="auto">
        <a:xfrm>
          <a:off x="5857875" y="0"/>
          <a:ext cx="5377815" cy="647700"/>
          <a:chOff x="5831312" y="0"/>
          <a:chExt cx="5351038" cy="647700"/>
        </a:xfrm>
      </xdr:grpSpPr>
      <xdr:sp macro="" textlink="">
        <xdr:nvSpPr>
          <xdr:cNvPr id="6" name="Text 3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01520" y="60960"/>
            <a:ext cx="4280830" cy="58674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Anteil der durch Karies-Prophylaxemaßnahmen in der Gruppen-    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prophylaxe erreichten Kinder in Sachsen im Schuljahr 2022/2023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nach Kreisfreien Städten und Landkreisen sowie Einrichtungstyp</a:t>
            </a:r>
          </a:p>
        </xdr:txBody>
      </xdr:sp>
      <xdr:sp macro="" textlink="">
        <xdr:nvSpPr>
          <xdr:cNvPr id="7" name="Text 2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31312" y="0"/>
            <a:ext cx="989019" cy="6172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7.10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45827" y="28575"/>
    <xdr:ext cx="994409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45827" y="28575"/>
          <a:ext cx="994409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7.10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1</xdr:col>
      <xdr:colOff>144780</xdr:colOff>
      <xdr:row>0</xdr:row>
      <xdr:rowOff>38100</xdr:rowOff>
    </xdr:from>
    <xdr:to>
      <xdr:col>9</xdr:col>
      <xdr:colOff>295394</xdr:colOff>
      <xdr:row>4</xdr:row>
      <xdr:rowOff>19050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068705" y="38100"/>
          <a:ext cx="7542014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Anteil der durch Karies-Prophylaxemaßnahmen in der Gruppen-prophylaxe erreichten Kinder in Sachsen im Schuljahr 2014/2015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Kreisfreien Städten und Landkreisen sowie Einrichtungstyp</a:t>
          </a:r>
        </a:p>
      </xdr:txBody>
    </xdr:sp>
    <xdr:clientData/>
  </xdr:twoCellAnchor>
  <xdr:twoCellAnchor>
    <xdr:from>
      <xdr:col>11</xdr:col>
      <xdr:colOff>0</xdr:colOff>
      <xdr:row>0</xdr:row>
      <xdr:rowOff>57150</xdr:rowOff>
    </xdr:from>
    <xdr:to>
      <xdr:col>16</xdr:col>
      <xdr:colOff>484116</xdr:colOff>
      <xdr:row>4</xdr:row>
      <xdr:rowOff>38100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10163175" y="57150"/>
          <a:ext cx="5103741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Noch: Anteil der durch Karies-Prophylaxemaßnahmen in der Gruppen-   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prophylaxe erreichten Kinder in Sachsen im Schuljahr 2014/2015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nach Kreisfreien Städten und Landkreisen sowie Einrichtungstyp</a:t>
          </a:r>
        </a:p>
      </xdr:txBody>
    </xdr:sp>
    <xdr:clientData/>
  </xdr:twoCellAnchor>
  <xdr:absoluteAnchor>
    <xdr:pos x="5827502" y="0"/>
    <xdr:ext cx="995354" cy="619125"/>
    <xdr:sp macro="" textlink="">
      <xdr:nvSpPr>
        <xdr:cNvPr id="5" name="Text 2"/>
        <xdr:cNvSpPr txBox="1">
          <a:spLocks noChangeArrowheads="1"/>
        </xdr:cNvSpPr>
      </xdr:nvSpPr>
      <xdr:spPr bwMode="auto">
        <a:xfrm>
          <a:off x="5827502" y="0"/>
          <a:ext cx="995354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7.10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5827" y="28575"/>
    <xdr:ext cx="987043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45827" y="28575"/>
          <a:ext cx="987043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7.10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1</xdr:col>
      <xdr:colOff>144780</xdr:colOff>
      <xdr:row>0</xdr:row>
      <xdr:rowOff>38100</xdr:rowOff>
    </xdr:from>
    <xdr:to>
      <xdr:col>9</xdr:col>
      <xdr:colOff>293496</xdr:colOff>
      <xdr:row>4</xdr:row>
      <xdr:rowOff>19050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068705" y="38100"/>
          <a:ext cx="7540116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Anteil der durch Karies-Prophylaxemaßnahmen in der Gruppen-prophylaxe erreichten Kinder in Sachsen im Schuljahr 2015/2016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Kreisfreien Städten und Landkreisen sowie Einrichtungstyp</a:t>
          </a:r>
        </a:p>
      </xdr:txBody>
    </xdr:sp>
    <xdr:clientData/>
  </xdr:twoCellAnchor>
  <xdr:twoCellAnchor>
    <xdr:from>
      <xdr:col>11</xdr:col>
      <xdr:colOff>0</xdr:colOff>
      <xdr:row>0</xdr:row>
      <xdr:rowOff>57150</xdr:rowOff>
    </xdr:from>
    <xdr:to>
      <xdr:col>16</xdr:col>
      <xdr:colOff>609600</xdr:colOff>
      <xdr:row>4</xdr:row>
      <xdr:rowOff>38100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10163175" y="57150"/>
          <a:ext cx="52292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Noch: Anteil der durch Karies-Prophylaxemaßnahmen in der Gruppen-   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prophylaxe erreichten Kinder in Sachsen im Schuljahr 2015/2016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nach Kreisfreien Städten und Landkreisen sowie Einrichtungstyp</a:t>
          </a:r>
        </a:p>
      </xdr:txBody>
    </xdr:sp>
    <xdr:clientData/>
  </xdr:twoCellAnchor>
  <xdr:absoluteAnchor>
    <xdr:pos x="5831312" y="0"/>
    <xdr:ext cx="984070" cy="619125"/>
    <xdr:sp macro="" textlink="">
      <xdr:nvSpPr>
        <xdr:cNvPr id="5" name="Text 2"/>
        <xdr:cNvSpPr txBox="1">
          <a:spLocks noChangeArrowheads="1"/>
        </xdr:cNvSpPr>
      </xdr:nvSpPr>
      <xdr:spPr bwMode="auto">
        <a:xfrm>
          <a:off x="5831312" y="0"/>
          <a:ext cx="98407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7.10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9</xdr:col>
      <xdr:colOff>295275</xdr:colOff>
      <xdr:row>4</xdr:row>
      <xdr:rowOff>38100</xdr:rowOff>
    </xdr:to>
    <xdr:grpSp>
      <xdr:nvGrpSpPr>
        <xdr:cNvPr id="99347" name="Gruppieren 1"/>
        <xdr:cNvGrpSpPr>
          <a:grpSpLocks/>
        </xdr:cNvGrpSpPr>
      </xdr:nvGrpSpPr>
      <xdr:grpSpPr bwMode="auto">
        <a:xfrm>
          <a:off x="47625" y="28575"/>
          <a:ext cx="5372100" cy="619125"/>
          <a:chOff x="45827" y="28575"/>
          <a:chExt cx="5372119" cy="619125"/>
        </a:xfrm>
      </xdr:grpSpPr>
      <xdr:sp macro="" textlink="">
        <xdr:nvSpPr>
          <xdr:cNvPr id="3" name="Text 2"/>
          <xdr:cNvSpPr txBox="1">
            <a:spLocks noChangeArrowheads="1"/>
          </xdr:cNvSpPr>
        </xdr:nvSpPr>
        <xdr:spPr bwMode="auto">
          <a:xfrm>
            <a:off x="45827" y="28575"/>
            <a:ext cx="990604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7.10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3"/>
          <xdr:cNvSpPr txBox="1">
            <a:spLocks noChangeArrowheads="1"/>
          </xdr:cNvSpPr>
        </xdr:nvSpPr>
        <xdr:spPr bwMode="auto">
          <a:xfrm>
            <a:off x="1331707" y="38100"/>
            <a:ext cx="4086239" cy="590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Anteil der durch Karies-Prophylaxemaßnahmen in der Gruppen-prophylaxe erreichten Kinder in Sachsen im Schuljahr 2016/2017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nach Kreisfreien Städten und Landkreisen sowie Einrichtungstyp</a:t>
            </a:r>
          </a:p>
        </xdr:txBody>
      </xdr:sp>
    </xdr:grpSp>
    <xdr:clientData/>
  </xdr:twoCellAnchor>
  <xdr:twoCellAnchor>
    <xdr:from>
      <xdr:col>10</xdr:col>
      <xdr:colOff>314325</xdr:colOff>
      <xdr:row>0</xdr:row>
      <xdr:rowOff>0</xdr:rowOff>
    </xdr:from>
    <xdr:to>
      <xdr:col>16</xdr:col>
      <xdr:colOff>609600</xdr:colOff>
      <xdr:row>4</xdr:row>
      <xdr:rowOff>38100</xdr:rowOff>
    </xdr:to>
    <xdr:grpSp>
      <xdr:nvGrpSpPr>
        <xdr:cNvPr id="99348" name="Gruppieren 2"/>
        <xdr:cNvGrpSpPr>
          <a:grpSpLocks/>
        </xdr:cNvGrpSpPr>
      </xdr:nvGrpSpPr>
      <xdr:grpSpPr bwMode="auto">
        <a:xfrm>
          <a:off x="5829300" y="0"/>
          <a:ext cx="5353050" cy="647700"/>
          <a:chOff x="5831312" y="0"/>
          <a:chExt cx="5351038" cy="647700"/>
        </a:xfrm>
      </xdr:grpSpPr>
      <xdr:sp macro="" textlink="">
        <xdr:nvSpPr>
          <xdr:cNvPr id="6" name="Text 3"/>
          <xdr:cNvSpPr txBox="1">
            <a:spLocks noChangeArrowheads="1"/>
          </xdr:cNvSpPr>
        </xdr:nvSpPr>
        <xdr:spPr bwMode="auto">
          <a:xfrm>
            <a:off x="6907232" y="57150"/>
            <a:ext cx="4275118" cy="590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Anteil der durch Karies-Prophylaxemaßnahmen in der Gruppen-    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prophylaxe erreichten Kinder in Sachsen im Schuljahr 2016/2017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nach Kreisfreien Städten und Landkreisen sowie Einrichtungstyp</a:t>
            </a:r>
          </a:p>
        </xdr:txBody>
      </xdr:sp>
      <xdr:sp macro="" textlink="">
        <xdr:nvSpPr>
          <xdr:cNvPr id="7" name="Text 2"/>
          <xdr:cNvSpPr txBox="1">
            <a:spLocks noChangeArrowheads="1"/>
          </xdr:cNvSpPr>
        </xdr:nvSpPr>
        <xdr:spPr bwMode="auto">
          <a:xfrm>
            <a:off x="5831312" y="0"/>
            <a:ext cx="980706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7.10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9</xdr:col>
      <xdr:colOff>304800</xdr:colOff>
      <xdr:row>4</xdr:row>
      <xdr:rowOff>38100</xdr:rowOff>
    </xdr:to>
    <xdr:grpSp>
      <xdr:nvGrpSpPr>
        <xdr:cNvPr id="110593" name="Gruppieren 1"/>
        <xdr:cNvGrpSpPr>
          <a:grpSpLocks/>
        </xdr:cNvGrpSpPr>
      </xdr:nvGrpSpPr>
      <xdr:grpSpPr bwMode="auto">
        <a:xfrm>
          <a:off x="47625" y="28575"/>
          <a:ext cx="5381625" cy="619125"/>
          <a:chOff x="45827" y="28575"/>
          <a:chExt cx="5372119" cy="619125"/>
        </a:xfrm>
      </xdr:grpSpPr>
      <xdr:sp macro="" textlink="">
        <xdr:nvSpPr>
          <xdr:cNvPr id="3" name="Text 2"/>
          <xdr:cNvSpPr txBox="1">
            <a:spLocks noChangeArrowheads="1"/>
          </xdr:cNvSpPr>
        </xdr:nvSpPr>
        <xdr:spPr bwMode="auto">
          <a:xfrm>
            <a:off x="45827" y="28575"/>
            <a:ext cx="988850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7.10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3"/>
          <xdr:cNvSpPr txBox="1">
            <a:spLocks noChangeArrowheads="1"/>
          </xdr:cNvSpPr>
        </xdr:nvSpPr>
        <xdr:spPr bwMode="auto">
          <a:xfrm>
            <a:off x="1329431" y="38100"/>
            <a:ext cx="4088515" cy="590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Anteil der durch Karies-Prophylaxemaßnahmen in der Gruppen-prophylaxe erreichten Kinder in Sachsen im Schuljahr 2017/2018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nach Kreisfreien Städten und Landkreisen sowie Einrichtungstyp</a:t>
            </a:r>
          </a:p>
        </xdr:txBody>
      </xdr:sp>
    </xdr:grpSp>
    <xdr:clientData/>
  </xdr:twoCellAnchor>
  <xdr:twoCellAnchor>
    <xdr:from>
      <xdr:col>10</xdr:col>
      <xdr:colOff>323850</xdr:colOff>
      <xdr:row>0</xdr:row>
      <xdr:rowOff>0</xdr:rowOff>
    </xdr:from>
    <xdr:to>
      <xdr:col>16</xdr:col>
      <xdr:colOff>628650</xdr:colOff>
      <xdr:row>4</xdr:row>
      <xdr:rowOff>38100</xdr:rowOff>
    </xdr:to>
    <xdr:grpSp>
      <xdr:nvGrpSpPr>
        <xdr:cNvPr id="110594" name="Gruppieren 2"/>
        <xdr:cNvGrpSpPr>
          <a:grpSpLocks/>
        </xdr:cNvGrpSpPr>
      </xdr:nvGrpSpPr>
      <xdr:grpSpPr bwMode="auto">
        <a:xfrm>
          <a:off x="5838825" y="0"/>
          <a:ext cx="5362575" cy="647700"/>
          <a:chOff x="5831312" y="0"/>
          <a:chExt cx="5351038" cy="647700"/>
        </a:xfrm>
      </xdr:grpSpPr>
      <xdr:sp macro="" textlink="">
        <xdr:nvSpPr>
          <xdr:cNvPr id="6" name="Text 3"/>
          <xdr:cNvSpPr txBox="1">
            <a:spLocks noChangeArrowheads="1"/>
          </xdr:cNvSpPr>
        </xdr:nvSpPr>
        <xdr:spPr bwMode="auto">
          <a:xfrm>
            <a:off x="6905321" y="57150"/>
            <a:ext cx="4277029" cy="590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Anteil der durch Karies-Prophylaxemaßnahmen in der Gruppen-    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prophylaxe erreichten Kinder in Sachsen im Schuljahr 2017/2018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nach Kreisfreien Städten und Landkreisen sowie Einrichtungstyp</a:t>
            </a:r>
          </a:p>
        </xdr:txBody>
      </xdr:sp>
      <xdr:sp macro="" textlink="">
        <xdr:nvSpPr>
          <xdr:cNvPr id="7" name="Text 2"/>
          <xdr:cNvSpPr txBox="1">
            <a:spLocks noChangeArrowheads="1"/>
          </xdr:cNvSpPr>
        </xdr:nvSpPr>
        <xdr:spPr bwMode="auto">
          <a:xfrm>
            <a:off x="5831312" y="0"/>
            <a:ext cx="988469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7.10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9</xdr:col>
      <xdr:colOff>314325</xdr:colOff>
      <xdr:row>4</xdr:row>
      <xdr:rowOff>38100</xdr:rowOff>
    </xdr:to>
    <xdr:grpSp>
      <xdr:nvGrpSpPr>
        <xdr:cNvPr id="109575" name="Gruppieren 1"/>
        <xdr:cNvGrpSpPr>
          <a:grpSpLocks/>
        </xdr:cNvGrpSpPr>
      </xdr:nvGrpSpPr>
      <xdr:grpSpPr bwMode="auto">
        <a:xfrm>
          <a:off x="47625" y="28575"/>
          <a:ext cx="5391150" cy="619125"/>
          <a:chOff x="45827" y="28575"/>
          <a:chExt cx="5372119" cy="619125"/>
        </a:xfrm>
      </xdr:grpSpPr>
      <xdr:sp macro="" textlink="">
        <xdr:nvSpPr>
          <xdr:cNvPr id="3" name="Text 2"/>
          <xdr:cNvSpPr txBox="1">
            <a:spLocks noChangeArrowheads="1"/>
          </xdr:cNvSpPr>
        </xdr:nvSpPr>
        <xdr:spPr bwMode="auto">
          <a:xfrm>
            <a:off x="45827" y="28575"/>
            <a:ext cx="987103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7.10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3"/>
          <xdr:cNvSpPr txBox="1">
            <a:spLocks noChangeArrowheads="1"/>
          </xdr:cNvSpPr>
        </xdr:nvSpPr>
        <xdr:spPr bwMode="auto">
          <a:xfrm>
            <a:off x="1327163" y="38100"/>
            <a:ext cx="4090783" cy="590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Anteil der durch Karies-Prophylaxemaßnahmen in der Gruppen-prophylaxe erreichten Kinder in Sachsen im Schuljahr 2018/2019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nach Kreisfreien Städten und Landkreisen sowie Einrichtungstyp</a:t>
            </a:r>
          </a:p>
        </xdr:txBody>
      </xdr:sp>
    </xdr:grpSp>
    <xdr:clientData/>
  </xdr:twoCellAnchor>
  <xdr:twoCellAnchor>
    <xdr:from>
      <xdr:col>10</xdr:col>
      <xdr:colOff>333375</xdr:colOff>
      <xdr:row>0</xdr:row>
      <xdr:rowOff>0</xdr:rowOff>
    </xdr:from>
    <xdr:to>
      <xdr:col>16</xdr:col>
      <xdr:colOff>647700</xdr:colOff>
      <xdr:row>4</xdr:row>
      <xdr:rowOff>38100</xdr:rowOff>
    </xdr:to>
    <xdr:grpSp>
      <xdr:nvGrpSpPr>
        <xdr:cNvPr id="109576" name="Gruppieren 2"/>
        <xdr:cNvGrpSpPr>
          <a:grpSpLocks/>
        </xdr:cNvGrpSpPr>
      </xdr:nvGrpSpPr>
      <xdr:grpSpPr bwMode="auto">
        <a:xfrm>
          <a:off x="5848350" y="0"/>
          <a:ext cx="5372100" cy="647700"/>
          <a:chOff x="5831312" y="0"/>
          <a:chExt cx="5351038" cy="647700"/>
        </a:xfrm>
      </xdr:grpSpPr>
      <xdr:sp macro="" textlink="">
        <xdr:nvSpPr>
          <xdr:cNvPr id="6" name="Text 3"/>
          <xdr:cNvSpPr txBox="1">
            <a:spLocks noChangeArrowheads="1"/>
          </xdr:cNvSpPr>
        </xdr:nvSpPr>
        <xdr:spPr bwMode="auto">
          <a:xfrm>
            <a:off x="6903417" y="57150"/>
            <a:ext cx="4278933" cy="590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Anteil der durch Karies-Prophylaxemaßnahmen in der Gruppen-    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prophylaxe erreichten Kinder in Sachsen im Schuljahr 2018/2019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nach Kreisfreien Städten und Landkreisen sowie Einrichtungstyp</a:t>
            </a:r>
          </a:p>
        </xdr:txBody>
      </xdr:sp>
      <xdr:sp macro="" textlink="">
        <xdr:nvSpPr>
          <xdr:cNvPr id="7" name="Text 2"/>
          <xdr:cNvSpPr txBox="1">
            <a:spLocks noChangeArrowheads="1"/>
          </xdr:cNvSpPr>
        </xdr:nvSpPr>
        <xdr:spPr bwMode="auto">
          <a:xfrm>
            <a:off x="5831312" y="0"/>
            <a:ext cx="986716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7.10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9</xdr:col>
      <xdr:colOff>314325</xdr:colOff>
      <xdr:row>4</xdr:row>
      <xdr:rowOff>38100</xdr:rowOff>
    </xdr:to>
    <xdr:grpSp>
      <xdr:nvGrpSpPr>
        <xdr:cNvPr id="108557" name="Gruppieren 1"/>
        <xdr:cNvGrpSpPr>
          <a:grpSpLocks/>
        </xdr:cNvGrpSpPr>
      </xdr:nvGrpSpPr>
      <xdr:grpSpPr bwMode="auto">
        <a:xfrm>
          <a:off x="47625" y="28575"/>
          <a:ext cx="5391150" cy="619125"/>
          <a:chOff x="45827" y="28575"/>
          <a:chExt cx="5372119" cy="619125"/>
        </a:xfrm>
      </xdr:grpSpPr>
      <xdr:sp macro="" textlink="">
        <xdr:nvSpPr>
          <xdr:cNvPr id="3" name="Text 2"/>
          <xdr:cNvSpPr txBox="1">
            <a:spLocks noChangeArrowheads="1"/>
          </xdr:cNvSpPr>
        </xdr:nvSpPr>
        <xdr:spPr bwMode="auto">
          <a:xfrm>
            <a:off x="45827" y="28575"/>
            <a:ext cx="987103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7.10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3"/>
          <xdr:cNvSpPr txBox="1">
            <a:spLocks noChangeArrowheads="1"/>
          </xdr:cNvSpPr>
        </xdr:nvSpPr>
        <xdr:spPr bwMode="auto">
          <a:xfrm>
            <a:off x="1327163" y="38100"/>
            <a:ext cx="4090783" cy="590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Anteil der durch Karies-Prophylaxemaßnahmen in der Gruppenprophylaxe erreichten Kinder in Sachsen im Schuljahr 2019/2020 nach Kreisfreien Städten und Landkreisen sowie Einrichtungstyp</a:t>
            </a:r>
          </a:p>
        </xdr:txBody>
      </xdr:sp>
    </xdr:grpSp>
    <xdr:clientData/>
  </xdr:twoCellAnchor>
  <xdr:twoCellAnchor>
    <xdr:from>
      <xdr:col>10</xdr:col>
      <xdr:colOff>333375</xdr:colOff>
      <xdr:row>0</xdr:row>
      <xdr:rowOff>0</xdr:rowOff>
    </xdr:from>
    <xdr:to>
      <xdr:col>16</xdr:col>
      <xdr:colOff>647700</xdr:colOff>
      <xdr:row>4</xdr:row>
      <xdr:rowOff>38100</xdr:rowOff>
    </xdr:to>
    <xdr:grpSp>
      <xdr:nvGrpSpPr>
        <xdr:cNvPr id="108558" name="Gruppieren 2"/>
        <xdr:cNvGrpSpPr>
          <a:grpSpLocks/>
        </xdr:cNvGrpSpPr>
      </xdr:nvGrpSpPr>
      <xdr:grpSpPr bwMode="auto">
        <a:xfrm>
          <a:off x="5848350" y="0"/>
          <a:ext cx="5372100" cy="647700"/>
          <a:chOff x="5831312" y="0"/>
          <a:chExt cx="5351038" cy="647700"/>
        </a:xfrm>
      </xdr:grpSpPr>
      <xdr:sp macro="" textlink="">
        <xdr:nvSpPr>
          <xdr:cNvPr id="6" name="Text 3"/>
          <xdr:cNvSpPr txBox="1">
            <a:spLocks noChangeArrowheads="1"/>
          </xdr:cNvSpPr>
        </xdr:nvSpPr>
        <xdr:spPr bwMode="auto">
          <a:xfrm>
            <a:off x="6903417" y="57150"/>
            <a:ext cx="4278933" cy="590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Anteil der durch Karies-Prophylaxemaßnahmen in der Gruppen-    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prophylaxe erreichten Kinder in Sachsen im Schuljahr 2019/2020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nach Kreisfreien Städten und Landkreisen sowie Einrichtungstyp</a:t>
            </a:r>
          </a:p>
        </xdr:txBody>
      </xdr:sp>
      <xdr:sp macro="" textlink="">
        <xdr:nvSpPr>
          <xdr:cNvPr id="7" name="Text 2"/>
          <xdr:cNvSpPr txBox="1">
            <a:spLocks noChangeArrowheads="1"/>
          </xdr:cNvSpPr>
        </xdr:nvSpPr>
        <xdr:spPr bwMode="auto">
          <a:xfrm>
            <a:off x="5831312" y="0"/>
            <a:ext cx="986716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7.10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30480</xdr:rowOff>
    </xdr:from>
    <xdr:to>
      <xdr:col>9</xdr:col>
      <xdr:colOff>327660</xdr:colOff>
      <xdr:row>4</xdr:row>
      <xdr:rowOff>38100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GrpSpPr>
          <a:grpSpLocks/>
        </xdr:cNvGrpSpPr>
      </xdr:nvGrpSpPr>
      <xdr:grpSpPr bwMode="auto">
        <a:xfrm>
          <a:off x="45720" y="30480"/>
          <a:ext cx="5406390" cy="617220"/>
          <a:chOff x="45827" y="28575"/>
          <a:chExt cx="5372119" cy="619125"/>
        </a:xfrm>
      </xdr:grpSpPr>
      <xdr:sp macro="" textlink="">
        <xdr:nvSpPr>
          <xdr:cNvPr id="3" name="Text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27" y="28575"/>
            <a:ext cx="987468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7.10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8061" y="36219"/>
            <a:ext cx="4089885" cy="59619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Anteil der durch Karies-Prophylaxemaßnahmen in der Gruppen-prophylaxe erreichten Kinder in Sachsen im Schuljahr 2020/2021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nach Kreisfreien Städten und Landkreisen sowie Einrichtungstyp</a:t>
            </a:r>
          </a:p>
        </xdr:txBody>
      </xdr:sp>
    </xdr:grpSp>
    <xdr:clientData/>
  </xdr:twoCellAnchor>
  <xdr:twoCellAnchor>
    <xdr:from>
      <xdr:col>10</xdr:col>
      <xdr:colOff>342900</xdr:colOff>
      <xdr:row>0</xdr:row>
      <xdr:rowOff>0</xdr:rowOff>
    </xdr:from>
    <xdr:to>
      <xdr:col>16</xdr:col>
      <xdr:colOff>662940</xdr:colOff>
      <xdr:row>4</xdr:row>
      <xdr:rowOff>38100</xdr:rowOff>
    </xdr:to>
    <xdr:grpSp>
      <xdr:nvGrpSpPr>
        <xdr:cNvPr id="5" name="Gruppieren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GrpSpPr>
          <a:grpSpLocks/>
        </xdr:cNvGrpSpPr>
      </xdr:nvGrpSpPr>
      <xdr:grpSpPr bwMode="auto">
        <a:xfrm>
          <a:off x="5857875" y="0"/>
          <a:ext cx="5377815" cy="647700"/>
          <a:chOff x="5831312" y="0"/>
          <a:chExt cx="5351038" cy="647700"/>
        </a:xfrm>
      </xdr:grpSpPr>
      <xdr:sp macro="" textlink="">
        <xdr:nvSpPr>
          <xdr:cNvPr id="6" name="Text 3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01520" y="60960"/>
            <a:ext cx="4280830" cy="58674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Anteil der durch Karies-Prophylaxemaßnahmen in der Gruppen-    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prophylaxe erreichten Kinder in Sachsen im Schuljahr 2020/2021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nach Kreisfreien Städten und Landkreisen sowie Einrichtungstyp</a:t>
            </a:r>
          </a:p>
        </xdr:txBody>
      </xdr:sp>
      <xdr:sp macro="" textlink="">
        <xdr:nvSpPr>
          <xdr:cNvPr id="7" name="Text 2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31312" y="0"/>
            <a:ext cx="989019" cy="6172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7.10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30480</xdr:rowOff>
    </xdr:from>
    <xdr:to>
      <xdr:col>9</xdr:col>
      <xdr:colOff>327660</xdr:colOff>
      <xdr:row>4</xdr:row>
      <xdr:rowOff>38100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GrpSpPr>
          <a:grpSpLocks/>
        </xdr:cNvGrpSpPr>
      </xdr:nvGrpSpPr>
      <xdr:grpSpPr bwMode="auto">
        <a:xfrm>
          <a:off x="45720" y="30480"/>
          <a:ext cx="5406390" cy="617220"/>
          <a:chOff x="45827" y="28575"/>
          <a:chExt cx="5372119" cy="619125"/>
        </a:xfrm>
      </xdr:grpSpPr>
      <xdr:sp macro="" textlink="">
        <xdr:nvSpPr>
          <xdr:cNvPr id="3" name="Text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27" y="28575"/>
            <a:ext cx="987468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7.10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8061" y="36219"/>
            <a:ext cx="4089885" cy="59619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Anteil der durch Karies-Prophylaxemaßnahmen in der Gruppen-prophylaxe erreichten Kinder in Sachsen im Schuljahr 2021/2022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nach Kreisfreien Städten und Landkreisen sowie Einrichtungstyp</a:t>
            </a:r>
          </a:p>
        </xdr:txBody>
      </xdr:sp>
    </xdr:grpSp>
    <xdr:clientData/>
  </xdr:twoCellAnchor>
  <xdr:twoCellAnchor>
    <xdr:from>
      <xdr:col>10</xdr:col>
      <xdr:colOff>342900</xdr:colOff>
      <xdr:row>0</xdr:row>
      <xdr:rowOff>0</xdr:rowOff>
    </xdr:from>
    <xdr:to>
      <xdr:col>16</xdr:col>
      <xdr:colOff>662940</xdr:colOff>
      <xdr:row>4</xdr:row>
      <xdr:rowOff>38100</xdr:rowOff>
    </xdr:to>
    <xdr:grpSp>
      <xdr:nvGrpSpPr>
        <xdr:cNvPr id="5" name="Gruppieren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GrpSpPr>
          <a:grpSpLocks/>
        </xdr:cNvGrpSpPr>
      </xdr:nvGrpSpPr>
      <xdr:grpSpPr bwMode="auto">
        <a:xfrm>
          <a:off x="5857875" y="0"/>
          <a:ext cx="5377815" cy="647700"/>
          <a:chOff x="5831312" y="0"/>
          <a:chExt cx="5351038" cy="647700"/>
        </a:xfrm>
      </xdr:grpSpPr>
      <xdr:sp macro="" textlink="">
        <xdr:nvSpPr>
          <xdr:cNvPr id="6" name="Text 3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01520" y="60960"/>
            <a:ext cx="4280830" cy="58674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Anteil der durch Karies-Prophylaxemaßnahmen in der Gruppen-    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prophylaxe erreichten Kinder in Sachsen im Schuljahr 2021/2022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nach Kreisfreien Städten und Landkreisen sowie Einrichtungstyp</a:t>
            </a:r>
          </a:p>
        </xdr:txBody>
      </xdr:sp>
      <xdr:sp macro="" textlink="">
        <xdr:nvSpPr>
          <xdr:cNvPr id="7" name="Text 2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31312" y="0"/>
            <a:ext cx="989019" cy="6172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7.10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32"/>
  <sheetViews>
    <sheetView tabSelected="1" zoomScaleNormal="100" zoomScaleSheetLayoutView="100" workbookViewId="0"/>
  </sheetViews>
  <sheetFormatPr baseColWidth="10" defaultColWidth="13.85546875" defaultRowHeight="12.75" x14ac:dyDescent="0.2"/>
  <cols>
    <col min="1" max="1" width="17.85546875" style="33" customWidth="1"/>
    <col min="2" max="3" width="8.42578125" style="33" customWidth="1"/>
    <col min="4" max="4" width="6" style="33" customWidth="1"/>
    <col min="5" max="6" width="8.42578125" style="33" customWidth="1"/>
    <col min="7" max="7" width="6" style="33" customWidth="1"/>
    <col min="8" max="9" width="8.5703125" style="33" customWidth="1"/>
    <col min="10" max="10" width="6.28515625" style="33" customWidth="1"/>
    <col min="11" max="11" width="20.85546875" style="33" customWidth="1"/>
    <col min="12" max="13" width="11" customWidth="1"/>
    <col min="14" max="14" width="11" style="17" customWidth="1"/>
    <col min="15" max="16" width="11" customWidth="1"/>
    <col min="17" max="17" width="11.140625" customWidth="1"/>
  </cols>
  <sheetData>
    <row r="1" spans="1:17" ht="12.2" customHeight="1" x14ac:dyDescent="0.2"/>
    <row r="2" spans="1:17" ht="12.2" customHeight="1" x14ac:dyDescent="0.2"/>
    <row r="3" spans="1:17" ht="12.2" customHeight="1" x14ac:dyDescent="0.2"/>
    <row r="4" spans="1:17" ht="12.2" customHeight="1" x14ac:dyDescent="0.2">
      <c r="A4" s="61"/>
      <c r="B4" s="61"/>
      <c r="C4" s="61"/>
      <c r="D4" s="61"/>
      <c r="E4" s="61"/>
      <c r="F4" s="61"/>
      <c r="K4" s="61"/>
    </row>
    <row r="5" spans="1:17" ht="12.2" customHeight="1" x14ac:dyDescent="0.2">
      <c r="A5" s="60"/>
      <c r="B5" s="60"/>
      <c r="C5" s="60"/>
      <c r="D5" s="60"/>
      <c r="E5" s="60"/>
      <c r="F5" s="60"/>
      <c r="K5" s="60"/>
    </row>
    <row r="6" spans="1:17" s="5" customFormat="1" ht="20.100000000000001" customHeight="1" x14ac:dyDescent="0.2">
      <c r="A6" s="155" t="s">
        <v>33</v>
      </c>
      <c r="B6" s="152" t="s">
        <v>16</v>
      </c>
      <c r="C6" s="153"/>
      <c r="D6" s="153"/>
      <c r="E6" s="153"/>
      <c r="F6" s="153"/>
      <c r="G6" s="153"/>
      <c r="H6" s="153"/>
      <c r="I6" s="153"/>
      <c r="J6" s="153"/>
      <c r="K6" s="155" t="s">
        <v>33</v>
      </c>
      <c r="L6" s="152" t="s">
        <v>16</v>
      </c>
      <c r="M6" s="153"/>
      <c r="N6" s="153"/>
      <c r="O6" s="153"/>
      <c r="P6" s="153"/>
      <c r="Q6" s="153"/>
    </row>
    <row r="7" spans="1:17" s="5" customFormat="1" ht="25.5" customHeight="1" x14ac:dyDescent="0.2">
      <c r="A7" s="156"/>
      <c r="B7" s="160" t="s">
        <v>0</v>
      </c>
      <c r="C7" s="161"/>
      <c r="D7" s="162"/>
      <c r="E7" s="159" t="s">
        <v>1</v>
      </c>
      <c r="F7" s="158"/>
      <c r="G7" s="157"/>
      <c r="H7" s="159" t="s">
        <v>14</v>
      </c>
      <c r="I7" s="158"/>
      <c r="J7" s="158"/>
      <c r="K7" s="156"/>
      <c r="L7" s="158" t="s">
        <v>15</v>
      </c>
      <c r="M7" s="158"/>
      <c r="N7" s="157"/>
      <c r="O7" s="152" t="s">
        <v>19</v>
      </c>
      <c r="P7" s="153"/>
      <c r="Q7" s="153"/>
    </row>
    <row r="8" spans="1:17" s="5" customFormat="1" ht="31.7" customHeight="1" x14ac:dyDescent="0.2">
      <c r="A8" s="157"/>
      <c r="B8" s="55" t="s">
        <v>18</v>
      </c>
      <c r="C8" s="54" t="s">
        <v>17</v>
      </c>
      <c r="D8" s="59" t="s">
        <v>2</v>
      </c>
      <c r="E8" s="55" t="s">
        <v>18</v>
      </c>
      <c r="F8" s="54" t="s">
        <v>17</v>
      </c>
      <c r="G8" s="58" t="s">
        <v>2</v>
      </c>
      <c r="H8" s="55" t="s">
        <v>18</v>
      </c>
      <c r="I8" s="54" t="s">
        <v>17</v>
      </c>
      <c r="J8" s="57" t="s">
        <v>2</v>
      </c>
      <c r="K8" s="157"/>
      <c r="L8" s="54" t="s">
        <v>18</v>
      </c>
      <c r="M8" s="54" t="s">
        <v>17</v>
      </c>
      <c r="N8" s="56" t="s">
        <v>2</v>
      </c>
      <c r="O8" s="55" t="s">
        <v>18</v>
      </c>
      <c r="P8" s="54" t="s">
        <v>17</v>
      </c>
      <c r="Q8" s="53" t="s">
        <v>2</v>
      </c>
    </row>
    <row r="9" spans="1:17" s="5" customFormat="1" ht="21.2" customHeight="1" x14ac:dyDescent="0.2">
      <c r="A9" s="49" t="s">
        <v>5</v>
      </c>
      <c r="B9" s="52">
        <f>2223+6859+30</f>
        <v>9112</v>
      </c>
      <c r="C9" s="51">
        <f>1940+5980+22</f>
        <v>7942</v>
      </c>
      <c r="D9" s="28">
        <f t="shared" ref="D9:D25" si="0">C9/B9*100</f>
        <v>87.159789288849865</v>
      </c>
      <c r="E9" s="51">
        <v>6868</v>
      </c>
      <c r="F9" s="51">
        <v>6588</v>
      </c>
      <c r="G9" s="50">
        <f t="shared" ref="G9:G25" si="1">F9/E9*100</f>
        <v>95.923121723937101</v>
      </c>
      <c r="H9" s="51">
        <v>2777</v>
      </c>
      <c r="I9" s="51">
        <v>2592</v>
      </c>
      <c r="J9" s="50">
        <f t="shared" ref="J9:J25" si="2">I9/H9*100</f>
        <v>93.33813467770976</v>
      </c>
      <c r="K9" s="49" t="s">
        <v>5</v>
      </c>
      <c r="L9" s="42">
        <v>1448</v>
      </c>
      <c r="M9" s="42">
        <v>1084</v>
      </c>
      <c r="N9" s="48">
        <f t="shared" ref="N9:N25" si="3">M9/L9*100</f>
        <v>74.861878453038671</v>
      </c>
      <c r="O9" s="42">
        <v>370</v>
      </c>
      <c r="P9" s="42">
        <v>370</v>
      </c>
      <c r="Q9" s="41">
        <f t="shared" ref="Q9:Q25" si="4">P9/O9*100</f>
        <v>100</v>
      </c>
    </row>
    <row r="10" spans="1:17" s="5" customFormat="1" ht="19.5" customHeight="1" x14ac:dyDescent="0.2">
      <c r="A10" s="44" t="s">
        <v>20</v>
      </c>
      <c r="B10" s="46">
        <f>770+2214+418+2497+566+2659+1064+3296</f>
        <v>13484</v>
      </c>
      <c r="C10" s="45">
        <f>709+2012+279+2188+477+2330+971+2905</f>
        <v>11871</v>
      </c>
      <c r="D10" s="28">
        <f t="shared" si="0"/>
        <v>88.037674280628892</v>
      </c>
      <c r="E10" s="45">
        <f>2530+2563+2603+3396</f>
        <v>11092</v>
      </c>
      <c r="F10" s="45">
        <f>2394+2494+2495+3291</f>
        <v>10674</v>
      </c>
      <c r="G10" s="28">
        <f t="shared" si="1"/>
        <v>96.231518211323475</v>
      </c>
      <c r="H10" s="45">
        <f>990+987+1324+1509</f>
        <v>4810</v>
      </c>
      <c r="I10" s="45">
        <f>769+413+1259+1454</f>
        <v>3895</v>
      </c>
      <c r="J10" s="28">
        <f t="shared" si="2"/>
        <v>80.977130977130969</v>
      </c>
      <c r="K10" s="44" t="s">
        <v>20</v>
      </c>
      <c r="L10" s="42">
        <f>100+199+183+543</f>
        <v>1025</v>
      </c>
      <c r="M10" s="42">
        <f>94+142+175+501</f>
        <v>912</v>
      </c>
      <c r="N10" s="43">
        <f t="shared" si="3"/>
        <v>88.975609756097569</v>
      </c>
      <c r="O10" s="42">
        <f>54+117+111+148</f>
        <v>430</v>
      </c>
      <c r="P10" s="42">
        <f>54+117+111+148</f>
        <v>430</v>
      </c>
      <c r="Q10" s="41">
        <f t="shared" si="4"/>
        <v>100</v>
      </c>
    </row>
    <row r="11" spans="1:17" s="5" customFormat="1" ht="14.25" customHeight="1" x14ac:dyDescent="0.2">
      <c r="A11" s="44" t="s">
        <v>21</v>
      </c>
      <c r="B11" s="46">
        <f>1509+3159+31+3287+2308+2537</f>
        <v>12831</v>
      </c>
      <c r="C11" s="45">
        <f>1239+2401+23+2979+2068+1947</f>
        <v>10657</v>
      </c>
      <c r="D11" s="28">
        <f t="shared" si="0"/>
        <v>83.056659652404335</v>
      </c>
      <c r="E11" s="45">
        <f>3504+3979+1837</f>
        <v>9320</v>
      </c>
      <c r="F11" s="45">
        <f>3277+3703+1732</f>
        <v>8712</v>
      </c>
      <c r="G11" s="28">
        <f t="shared" si="1"/>
        <v>93.476394849785407</v>
      </c>
      <c r="H11" s="45">
        <f>1819+977+903</f>
        <v>3699</v>
      </c>
      <c r="I11" s="45">
        <f>1331+937+754</f>
        <v>3022</v>
      </c>
      <c r="J11" s="28">
        <f t="shared" si="2"/>
        <v>81.697756150310894</v>
      </c>
      <c r="K11" s="44" t="s">
        <v>21</v>
      </c>
      <c r="L11" s="42">
        <f>330+718+338</f>
        <v>1386</v>
      </c>
      <c r="M11" s="42">
        <f>265+659+305</f>
        <v>1229</v>
      </c>
      <c r="N11" s="43">
        <f t="shared" si="3"/>
        <v>88.672438672438673</v>
      </c>
      <c r="O11" s="42">
        <f>84+244+28</f>
        <v>356</v>
      </c>
      <c r="P11" s="42">
        <f>84+244+28</f>
        <v>356</v>
      </c>
      <c r="Q11" s="41">
        <f t="shared" si="4"/>
        <v>100</v>
      </c>
    </row>
    <row r="12" spans="1:17" s="5" customFormat="1" ht="14.25" customHeight="1" x14ac:dyDescent="0.2">
      <c r="A12" s="44" t="s">
        <v>6</v>
      </c>
      <c r="B12" s="46">
        <f>3066+5664</f>
        <v>8730</v>
      </c>
      <c r="C12" s="45">
        <f>2797+5019</f>
        <v>7816</v>
      </c>
      <c r="D12" s="28">
        <f t="shared" si="0"/>
        <v>89.530355097365415</v>
      </c>
      <c r="E12" s="45">
        <v>6762</v>
      </c>
      <c r="F12" s="45">
        <v>6351</v>
      </c>
      <c r="G12" s="28">
        <f t="shared" si="1"/>
        <v>93.921916592724045</v>
      </c>
      <c r="H12" s="45">
        <v>3209</v>
      </c>
      <c r="I12" s="45">
        <v>2854</v>
      </c>
      <c r="J12" s="28">
        <f t="shared" si="2"/>
        <v>88.937363664693052</v>
      </c>
      <c r="K12" s="44" t="s">
        <v>6</v>
      </c>
      <c r="L12" s="42">
        <v>881</v>
      </c>
      <c r="M12" s="42">
        <v>668</v>
      </c>
      <c r="N12" s="43">
        <f t="shared" si="3"/>
        <v>75.82292849035187</v>
      </c>
      <c r="O12" s="42">
        <v>46</v>
      </c>
      <c r="P12" s="42">
        <v>46</v>
      </c>
      <c r="Q12" s="41">
        <f t="shared" si="4"/>
        <v>100</v>
      </c>
    </row>
    <row r="13" spans="1:17" s="5" customFormat="1" ht="14.25" customHeight="1" x14ac:dyDescent="0.2">
      <c r="A13" s="44" t="s">
        <v>22</v>
      </c>
      <c r="B13" s="46">
        <f>4077+3314+870+3451+42</f>
        <v>11754</v>
      </c>
      <c r="C13" s="45">
        <f>3436+2933+755+3087+42</f>
        <v>10253</v>
      </c>
      <c r="D13" s="28">
        <f t="shared" si="0"/>
        <v>87.22987919006296</v>
      </c>
      <c r="E13" s="45">
        <f>6025+3805</f>
        <v>9830</v>
      </c>
      <c r="F13" s="45">
        <f>5808+3695</f>
        <v>9503</v>
      </c>
      <c r="G13" s="28">
        <f t="shared" si="1"/>
        <v>96.673448626653098</v>
      </c>
      <c r="H13" s="45">
        <f>2769+2004</f>
        <v>4773</v>
      </c>
      <c r="I13" s="45">
        <f>2692+1930</f>
        <v>4622</v>
      </c>
      <c r="J13" s="28">
        <f t="shared" si="2"/>
        <v>96.836371254975901</v>
      </c>
      <c r="K13" s="44" t="s">
        <v>22</v>
      </c>
      <c r="L13" s="42">
        <f>1044+314</f>
        <v>1358</v>
      </c>
      <c r="M13" s="42">
        <f>916+280</f>
        <v>1196</v>
      </c>
      <c r="N13" s="43">
        <f t="shared" si="3"/>
        <v>88.070692194403534</v>
      </c>
      <c r="O13" s="42">
        <f>84+200</f>
        <v>284</v>
      </c>
      <c r="P13" s="42">
        <f>84+200</f>
        <v>284</v>
      </c>
      <c r="Q13" s="41">
        <f t="shared" si="4"/>
        <v>100</v>
      </c>
    </row>
    <row r="14" spans="1:17" s="5" customFormat="1" ht="31.7" customHeight="1" x14ac:dyDescent="0.2">
      <c r="A14" s="26" t="s">
        <v>28</v>
      </c>
      <c r="B14" s="40">
        <f>SUM(B9:B13)</f>
        <v>55911</v>
      </c>
      <c r="C14" s="39">
        <f>SUM(C9:C13)</f>
        <v>48539</v>
      </c>
      <c r="D14" s="38">
        <f t="shared" si="0"/>
        <v>86.814759170825056</v>
      </c>
      <c r="E14" s="39">
        <f>SUM(E9:E13)</f>
        <v>43872</v>
      </c>
      <c r="F14" s="39">
        <f>SUM(F9:F13)</f>
        <v>41828</v>
      </c>
      <c r="G14" s="38">
        <f t="shared" si="1"/>
        <v>95.340991976659367</v>
      </c>
      <c r="H14" s="39">
        <f>SUM(H9:H13)</f>
        <v>19268</v>
      </c>
      <c r="I14" s="39">
        <f>SUM(I9:I13)</f>
        <v>16985</v>
      </c>
      <c r="J14" s="38">
        <f t="shared" si="2"/>
        <v>88.151339007681131</v>
      </c>
      <c r="K14" s="26" t="s">
        <v>28</v>
      </c>
      <c r="L14" s="27">
        <f>SUM(L9:L13)</f>
        <v>6098</v>
      </c>
      <c r="M14" s="27">
        <f>SUM(M9:M13)</f>
        <v>5089</v>
      </c>
      <c r="N14" s="36">
        <f t="shared" si="3"/>
        <v>83.453591341423419</v>
      </c>
      <c r="O14" s="27">
        <f>SUM(O9:O13)</f>
        <v>1486</v>
      </c>
      <c r="P14" s="27">
        <f>SUM(P9:P13)</f>
        <v>1486</v>
      </c>
      <c r="Q14" s="31">
        <f t="shared" si="4"/>
        <v>100</v>
      </c>
    </row>
    <row r="15" spans="1:17" s="5" customFormat="1" ht="19.5" customHeight="1" x14ac:dyDescent="0.2">
      <c r="A15" s="44" t="s">
        <v>7</v>
      </c>
      <c r="B15" s="46">
        <f>10137+15607+627</f>
        <v>26371</v>
      </c>
      <c r="C15" s="45">
        <f>9132+14204+571</f>
        <v>23907</v>
      </c>
      <c r="D15" s="28">
        <f t="shared" si="0"/>
        <v>90.656402866785484</v>
      </c>
      <c r="E15" s="45">
        <v>16629</v>
      </c>
      <c r="F15" s="45">
        <v>16230</v>
      </c>
      <c r="G15" s="28">
        <f t="shared" si="1"/>
        <v>97.600577304708651</v>
      </c>
      <c r="H15" s="45">
        <v>7474</v>
      </c>
      <c r="I15" s="45">
        <v>7190</v>
      </c>
      <c r="J15" s="28">
        <f t="shared" si="2"/>
        <v>96.200160556596202</v>
      </c>
      <c r="K15" s="44" t="s">
        <v>7</v>
      </c>
      <c r="L15" s="42">
        <v>2328</v>
      </c>
      <c r="M15" s="42">
        <v>2079</v>
      </c>
      <c r="N15" s="43">
        <f t="shared" si="3"/>
        <v>89.30412371134021</v>
      </c>
      <c r="O15" s="42">
        <f>148+114</f>
        <v>262</v>
      </c>
      <c r="P15" s="42">
        <f>148+114</f>
        <v>262</v>
      </c>
      <c r="Q15" s="41">
        <f t="shared" si="4"/>
        <v>100</v>
      </c>
    </row>
    <row r="16" spans="1:17" s="5" customFormat="1" ht="19.5" customHeight="1" x14ac:dyDescent="0.2">
      <c r="A16" s="44" t="s">
        <v>8</v>
      </c>
      <c r="B16" s="46">
        <f>2254+3469+143+1135+2142+3151+47</f>
        <v>12341</v>
      </c>
      <c r="C16" s="45">
        <f>1887+3163+132+838+1958+2830+39</f>
        <v>10847</v>
      </c>
      <c r="D16" s="28">
        <f t="shared" si="0"/>
        <v>87.894011830483748</v>
      </c>
      <c r="E16" s="45">
        <f>4555+851+4386</f>
        <v>9792</v>
      </c>
      <c r="F16" s="45">
        <f>4094+832+4308</f>
        <v>9234</v>
      </c>
      <c r="G16" s="28">
        <f t="shared" si="1"/>
        <v>94.30147058823529</v>
      </c>
      <c r="H16" s="45">
        <f>1818+892+2168</f>
        <v>4878</v>
      </c>
      <c r="I16" s="45">
        <f>1762+880+1662</f>
        <v>4304</v>
      </c>
      <c r="J16" s="28">
        <f t="shared" si="2"/>
        <v>88.232882328823294</v>
      </c>
      <c r="K16" s="44" t="s">
        <v>8</v>
      </c>
      <c r="L16" s="42">
        <f>462+208+501</f>
        <v>1171</v>
      </c>
      <c r="M16" s="42">
        <f>420+202+422</f>
        <v>1044</v>
      </c>
      <c r="N16" s="43">
        <f t="shared" si="3"/>
        <v>89.154568744662683</v>
      </c>
      <c r="O16" s="42">
        <f>211+25+188</f>
        <v>424</v>
      </c>
      <c r="P16" s="42">
        <f>211+25+188</f>
        <v>424</v>
      </c>
      <c r="Q16" s="41">
        <f t="shared" si="4"/>
        <v>100</v>
      </c>
    </row>
    <row r="17" spans="1:20" s="5" customFormat="1" ht="14.25" customHeight="1" x14ac:dyDescent="0.2">
      <c r="A17" s="44" t="s">
        <v>23</v>
      </c>
      <c r="B17" s="46">
        <f>968+1037+784+2422+1394+3141+30</f>
        <v>9776</v>
      </c>
      <c r="C17" s="45">
        <f>882+945+700+1936+1275+2919+30</f>
        <v>8687</v>
      </c>
      <c r="D17" s="28">
        <f t="shared" si="0"/>
        <v>88.860474631751231</v>
      </c>
      <c r="E17" s="45">
        <f>1585+2638+3763</f>
        <v>7986</v>
      </c>
      <c r="F17" s="45">
        <f>1523+2362+3674</f>
        <v>7559</v>
      </c>
      <c r="G17" s="28">
        <f t="shared" si="1"/>
        <v>94.653143000250438</v>
      </c>
      <c r="H17" s="45">
        <f>800+449+1833</f>
        <v>3082</v>
      </c>
      <c r="I17" s="45">
        <f>606+64+1763</f>
        <v>2433</v>
      </c>
      <c r="J17" s="28">
        <f t="shared" si="2"/>
        <v>78.942245295262808</v>
      </c>
      <c r="K17" s="44" t="s">
        <v>23</v>
      </c>
      <c r="L17" s="42">
        <f>437+199+607</f>
        <v>1243</v>
      </c>
      <c r="M17" s="42">
        <f>417+144+583</f>
        <v>1144</v>
      </c>
      <c r="N17" s="43">
        <f t="shared" si="3"/>
        <v>92.035398230088489</v>
      </c>
      <c r="O17" s="42">
        <f>27+54+84</f>
        <v>165</v>
      </c>
      <c r="P17" s="42">
        <f>27+54+84</f>
        <v>165</v>
      </c>
      <c r="Q17" s="41">
        <f t="shared" si="4"/>
        <v>100</v>
      </c>
    </row>
    <row r="18" spans="1:20" s="5" customFormat="1" ht="14.25" customHeight="1" x14ac:dyDescent="0.2">
      <c r="A18" s="44" t="s">
        <v>9</v>
      </c>
      <c r="B18" s="46">
        <f>2360+4127+2079+1259+35</f>
        <v>9860</v>
      </c>
      <c r="C18" s="45">
        <f>2128+3463+1775+990+30</f>
        <v>8386</v>
      </c>
      <c r="D18" s="28">
        <f t="shared" si="0"/>
        <v>85.050709939148078</v>
      </c>
      <c r="E18" s="45">
        <f>4830+3016</f>
        <v>7846</v>
      </c>
      <c r="F18" s="45">
        <f>4438+2931</f>
        <v>7369</v>
      </c>
      <c r="G18" s="28">
        <f t="shared" si="1"/>
        <v>93.92046902880449</v>
      </c>
      <c r="H18" s="45">
        <f>2309+1207</f>
        <v>3516</v>
      </c>
      <c r="I18" s="45">
        <f>1712+904</f>
        <v>2616</v>
      </c>
      <c r="J18" s="28">
        <f t="shared" si="2"/>
        <v>74.402730375426614</v>
      </c>
      <c r="K18" s="44" t="s">
        <v>9</v>
      </c>
      <c r="L18" s="42">
        <f>664+334</f>
        <v>998</v>
      </c>
      <c r="M18" s="42">
        <f>549+323</f>
        <v>872</v>
      </c>
      <c r="N18" s="43">
        <f t="shared" si="3"/>
        <v>87.374749498998</v>
      </c>
      <c r="O18" s="42">
        <f>50+55</f>
        <v>105</v>
      </c>
      <c r="P18" s="42">
        <f>50+55</f>
        <v>105</v>
      </c>
      <c r="Q18" s="41">
        <f t="shared" si="4"/>
        <v>100</v>
      </c>
    </row>
    <row r="19" spans="1:20" s="5" customFormat="1" ht="24" customHeight="1" x14ac:dyDescent="0.2">
      <c r="A19" s="47" t="s">
        <v>24</v>
      </c>
      <c r="B19" s="46">
        <f>1666+2946+65+2004+3132</f>
        <v>9813</v>
      </c>
      <c r="C19" s="45">
        <f>1482+2734+25+1687+2642</f>
        <v>8570</v>
      </c>
      <c r="D19" s="28">
        <f t="shared" si="0"/>
        <v>87.333129522062563</v>
      </c>
      <c r="E19" s="45">
        <f>4010+4083</f>
        <v>8093</v>
      </c>
      <c r="F19" s="45">
        <f>3940+3895</f>
        <v>7835</v>
      </c>
      <c r="G19" s="28">
        <f t="shared" si="1"/>
        <v>96.812059804769561</v>
      </c>
      <c r="H19" s="45">
        <f>1576+1786</f>
        <v>3362</v>
      </c>
      <c r="I19" s="45">
        <f>1533+1735</f>
        <v>3268</v>
      </c>
      <c r="J19" s="28">
        <f t="shared" si="2"/>
        <v>97.204045211183825</v>
      </c>
      <c r="K19" s="47" t="s">
        <v>24</v>
      </c>
      <c r="L19" s="42">
        <f>505+626</f>
        <v>1131</v>
      </c>
      <c r="M19" s="42">
        <f>501+554</f>
        <v>1055</v>
      </c>
      <c r="N19" s="43">
        <f t="shared" si="3"/>
        <v>93.280282935455347</v>
      </c>
      <c r="O19" s="42">
        <f>331+163</f>
        <v>494</v>
      </c>
      <c r="P19" s="42">
        <f>331+163</f>
        <v>494</v>
      </c>
      <c r="Q19" s="41">
        <f t="shared" si="4"/>
        <v>100</v>
      </c>
    </row>
    <row r="20" spans="1:20" s="5" customFormat="1" ht="31.7" customHeight="1" x14ac:dyDescent="0.2">
      <c r="A20" s="26" t="s">
        <v>29</v>
      </c>
      <c r="B20" s="40">
        <f>SUM(B15:B19)</f>
        <v>68161</v>
      </c>
      <c r="C20" s="39">
        <f>SUM(C15:C19)</f>
        <v>60397</v>
      </c>
      <c r="D20" s="38">
        <f t="shared" si="0"/>
        <v>88.609322046331485</v>
      </c>
      <c r="E20" s="39">
        <f>SUM(E15:E19)</f>
        <v>50346</v>
      </c>
      <c r="F20" s="39">
        <f>SUM(F15:F19)</f>
        <v>48227</v>
      </c>
      <c r="G20" s="38">
        <f t="shared" si="1"/>
        <v>95.791125412147935</v>
      </c>
      <c r="H20" s="39">
        <f>SUM(H15:H19)</f>
        <v>22312</v>
      </c>
      <c r="I20" s="39">
        <f>SUM(I15:I19)</f>
        <v>19811</v>
      </c>
      <c r="J20" s="38">
        <f t="shared" si="2"/>
        <v>88.790785227680175</v>
      </c>
      <c r="K20" s="26" t="s">
        <v>29</v>
      </c>
      <c r="L20" s="27">
        <f>SUM(L15:L19)</f>
        <v>6871</v>
      </c>
      <c r="M20" s="27">
        <f>SUM(M15:M19)</f>
        <v>6194</v>
      </c>
      <c r="N20" s="36">
        <f t="shared" si="3"/>
        <v>90.146994615048754</v>
      </c>
      <c r="O20" s="27">
        <f>SUM(O15:O19)</f>
        <v>1450</v>
      </c>
      <c r="P20" s="27">
        <f>SUM(P15:P19)</f>
        <v>1450</v>
      </c>
      <c r="Q20" s="31">
        <f t="shared" si="4"/>
        <v>100</v>
      </c>
    </row>
    <row r="21" spans="1:20" s="5" customFormat="1" ht="19.5" customHeight="1" x14ac:dyDescent="0.2">
      <c r="A21" s="44" t="s">
        <v>10</v>
      </c>
      <c r="B21" s="46">
        <f>5805+15472+41</f>
        <v>21318</v>
      </c>
      <c r="C21" s="45">
        <f>4669+13054+39</f>
        <v>17762</v>
      </c>
      <c r="D21" s="28">
        <f t="shared" si="0"/>
        <v>83.319260718641516</v>
      </c>
      <c r="E21" s="45">
        <v>14759</v>
      </c>
      <c r="F21" s="45">
        <v>13724</v>
      </c>
      <c r="G21" s="28">
        <f t="shared" si="1"/>
        <v>92.987329764889211</v>
      </c>
      <c r="H21" s="45">
        <v>5638</v>
      </c>
      <c r="I21" s="45">
        <v>4954</v>
      </c>
      <c r="J21" s="28">
        <f t="shared" si="2"/>
        <v>87.868038311457966</v>
      </c>
      <c r="K21" s="44" t="s">
        <v>10</v>
      </c>
      <c r="L21" s="42">
        <v>2675</v>
      </c>
      <c r="M21" s="42">
        <v>2168</v>
      </c>
      <c r="N21" s="43">
        <f t="shared" si="3"/>
        <v>81.046728971962608</v>
      </c>
      <c r="O21" s="42">
        <f>699+379</f>
        <v>1078</v>
      </c>
      <c r="P21" s="42">
        <f>699+379</f>
        <v>1078</v>
      </c>
      <c r="Q21" s="41">
        <f t="shared" si="4"/>
        <v>100</v>
      </c>
    </row>
    <row r="22" spans="1:20" s="5" customFormat="1" ht="19.5" customHeight="1" x14ac:dyDescent="0.2">
      <c r="A22" s="44" t="s">
        <v>25</v>
      </c>
      <c r="B22" s="46">
        <f>1636+3305+94+1867+3326+118</f>
        <v>10346</v>
      </c>
      <c r="C22" s="45">
        <f>1514+2964+75+1372+2767+90</f>
        <v>8782</v>
      </c>
      <c r="D22" s="28">
        <f t="shared" si="0"/>
        <v>84.883046588053361</v>
      </c>
      <c r="E22" s="45">
        <f>4088+4379</f>
        <v>8467</v>
      </c>
      <c r="F22" s="45">
        <f>3940+3008</f>
        <v>6948</v>
      </c>
      <c r="G22" s="28">
        <f t="shared" si="1"/>
        <v>82.059761426715482</v>
      </c>
      <c r="H22" s="45">
        <f>1832+1980</f>
        <v>3812</v>
      </c>
      <c r="I22" s="45">
        <f>1778+1128</f>
        <v>2906</v>
      </c>
      <c r="J22" s="28">
        <f t="shared" si="2"/>
        <v>76.232948583420779</v>
      </c>
      <c r="K22" s="44" t="s">
        <v>25</v>
      </c>
      <c r="L22" s="42">
        <f>384+293</f>
        <v>677</v>
      </c>
      <c r="M22" s="42">
        <f>375</f>
        <v>375</v>
      </c>
      <c r="N22" s="43">
        <f t="shared" si="3"/>
        <v>55.391432791728214</v>
      </c>
      <c r="O22" s="42">
        <f>27+103</f>
        <v>130</v>
      </c>
      <c r="P22" s="42">
        <f>27+103</f>
        <v>130</v>
      </c>
      <c r="Q22" s="41">
        <f t="shared" si="4"/>
        <v>100</v>
      </c>
    </row>
    <row r="23" spans="1:20" s="5" customFormat="1" ht="14.25" customHeight="1" x14ac:dyDescent="0.2">
      <c r="A23" s="44" t="s">
        <v>26</v>
      </c>
      <c r="B23" s="46">
        <f>2654+1749+684+2505</f>
        <v>7592</v>
      </c>
      <c r="C23" s="45">
        <f>2124+1435+561+2134</f>
        <v>6254</v>
      </c>
      <c r="D23" s="28">
        <f t="shared" si="0"/>
        <v>82.376185458377236</v>
      </c>
      <c r="E23" s="45">
        <f>3442+2625</f>
        <v>6067</v>
      </c>
      <c r="F23" s="45">
        <f>3103+2531</f>
        <v>5634</v>
      </c>
      <c r="G23" s="28">
        <f t="shared" si="1"/>
        <v>92.86302950387342</v>
      </c>
      <c r="H23" s="45">
        <f>1602+1171</f>
        <v>2773</v>
      </c>
      <c r="I23" s="45">
        <f>1516+985</f>
        <v>2501</v>
      </c>
      <c r="J23" s="28">
        <f t="shared" si="2"/>
        <v>90.191128741435264</v>
      </c>
      <c r="K23" s="44" t="s">
        <v>26</v>
      </c>
      <c r="L23" s="42">
        <f>299+291</f>
        <v>590</v>
      </c>
      <c r="M23" s="42">
        <f>260+133</f>
        <v>393</v>
      </c>
      <c r="N23" s="43">
        <f t="shared" si="3"/>
        <v>66.610169491525426</v>
      </c>
      <c r="O23" s="42">
        <f>120</f>
        <v>120</v>
      </c>
      <c r="P23" s="42">
        <f>120</f>
        <v>120</v>
      </c>
      <c r="Q23" s="41">
        <f t="shared" si="4"/>
        <v>100</v>
      </c>
    </row>
    <row r="24" spans="1:20" s="5" customFormat="1" ht="31.7" customHeight="1" x14ac:dyDescent="0.2">
      <c r="A24" s="26" t="s">
        <v>30</v>
      </c>
      <c r="B24" s="40">
        <f>SUM(B21:B23)</f>
        <v>39256</v>
      </c>
      <c r="C24" s="39">
        <f>SUM(C21:C23)</f>
        <v>32798</v>
      </c>
      <c r="D24" s="38">
        <f t="shared" si="0"/>
        <v>83.549011616058692</v>
      </c>
      <c r="E24" s="39">
        <f>SUM(E21:E23)</f>
        <v>29293</v>
      </c>
      <c r="F24" s="39">
        <f>SUM(F21:F23)</f>
        <v>26306</v>
      </c>
      <c r="G24" s="38">
        <f t="shared" si="1"/>
        <v>89.803024613388857</v>
      </c>
      <c r="H24" s="39">
        <f>SUM(H21:H23)</f>
        <v>12223</v>
      </c>
      <c r="I24" s="39">
        <f>SUM(I21:I23)</f>
        <v>10361</v>
      </c>
      <c r="J24" s="38">
        <f t="shared" si="2"/>
        <v>84.76642395483924</v>
      </c>
      <c r="K24" s="26" t="s">
        <v>30</v>
      </c>
      <c r="L24" s="27">
        <f>SUM(L21:L23)</f>
        <v>3942</v>
      </c>
      <c r="M24" s="27">
        <f>SUM(M21:M23)</f>
        <v>2936</v>
      </c>
      <c r="N24" s="36">
        <f t="shared" si="3"/>
        <v>74.479959411466254</v>
      </c>
      <c r="O24" s="27">
        <f>SUM(O21:O23)</f>
        <v>1328</v>
      </c>
      <c r="P24" s="27">
        <f>SUM(P21:P23)</f>
        <v>1328</v>
      </c>
      <c r="Q24" s="31">
        <f t="shared" si="4"/>
        <v>100</v>
      </c>
    </row>
    <row r="25" spans="1:20" s="5" customFormat="1" ht="28.5" customHeight="1" x14ac:dyDescent="0.2">
      <c r="A25" s="37" t="s">
        <v>11</v>
      </c>
      <c r="B25" s="40">
        <f>SUM(B24,B20,B14)</f>
        <v>163328</v>
      </c>
      <c r="C25" s="39">
        <f>SUM(C24,C20,C14)</f>
        <v>141734</v>
      </c>
      <c r="D25" s="38">
        <f t="shared" si="0"/>
        <v>86.778751959247643</v>
      </c>
      <c r="E25" s="39">
        <f>SUM(E14+E20+E24)</f>
        <v>123511</v>
      </c>
      <c r="F25" s="39">
        <f>SUM(F14+F20+F24)</f>
        <v>116361</v>
      </c>
      <c r="G25" s="38">
        <f t="shared" si="1"/>
        <v>94.211041931487884</v>
      </c>
      <c r="H25" s="39">
        <f>SUM(H14+H20+H24)</f>
        <v>53803</v>
      </c>
      <c r="I25" s="39">
        <f>SUM(I14+I20+I24)</f>
        <v>47157</v>
      </c>
      <c r="J25" s="38">
        <f t="shared" si="2"/>
        <v>87.64752894819992</v>
      </c>
      <c r="K25" s="37" t="s">
        <v>11</v>
      </c>
      <c r="L25" s="27">
        <f>SUM(L14+L20+L24)</f>
        <v>16911</v>
      </c>
      <c r="M25" s="27">
        <f>SUM(M14+M20+M24)</f>
        <v>14219</v>
      </c>
      <c r="N25" s="36">
        <f t="shared" si="3"/>
        <v>84.081367157471462</v>
      </c>
      <c r="O25" s="27">
        <f>SUM(O14+O20+O24)</f>
        <v>4264</v>
      </c>
      <c r="P25" s="27">
        <f>SUM(P14+P20+P24)</f>
        <v>4264</v>
      </c>
      <c r="Q25" s="31">
        <f t="shared" si="4"/>
        <v>100</v>
      </c>
    </row>
    <row r="26" spans="1:20" ht="12.75" customHeight="1" x14ac:dyDescent="0.2">
      <c r="A26" s="9"/>
      <c r="B26" s="13"/>
      <c r="C26" s="13"/>
      <c r="D26" s="14"/>
      <c r="E26" s="13"/>
      <c r="F26" s="13"/>
      <c r="G26" s="12"/>
      <c r="H26" s="13"/>
      <c r="I26" s="13"/>
      <c r="J26" s="15"/>
      <c r="K26" s="9"/>
      <c r="L26" s="13"/>
      <c r="M26" s="13"/>
      <c r="N26" s="10"/>
      <c r="Q26" s="35"/>
    </row>
    <row r="27" spans="1:20" ht="12.75" customHeight="1" x14ac:dyDescent="0.2">
      <c r="A27" s="33" t="s">
        <v>12</v>
      </c>
      <c r="J27" s="34"/>
      <c r="K27" s="33" t="s">
        <v>12</v>
      </c>
    </row>
    <row r="28" spans="1:20" ht="21.2" customHeight="1" x14ac:dyDescent="0.2">
      <c r="A28" s="154" t="s">
        <v>31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 t="s">
        <v>31</v>
      </c>
      <c r="L28" s="154"/>
      <c r="M28" s="154"/>
      <c r="N28" s="154"/>
      <c r="O28" s="154"/>
      <c r="P28" s="154"/>
      <c r="Q28" s="154"/>
      <c r="R28" s="32"/>
      <c r="S28" s="32"/>
      <c r="T28" s="32"/>
    </row>
    <row r="29" spans="1:20" ht="10.5" customHeight="1" x14ac:dyDescent="0.2">
      <c r="A29" s="5" t="s">
        <v>3</v>
      </c>
      <c r="G29" s="6"/>
      <c r="H29" s="7"/>
      <c r="I29" s="7"/>
      <c r="J29" s="5"/>
      <c r="K29" s="5" t="s">
        <v>3</v>
      </c>
      <c r="L29" s="5"/>
      <c r="M29" s="5"/>
      <c r="N29" s="18"/>
    </row>
    <row r="30" spans="1:20" ht="10.5" customHeight="1" x14ac:dyDescent="0.2">
      <c r="A30" s="5" t="s">
        <v>13</v>
      </c>
      <c r="G30" s="5"/>
      <c r="H30" s="5"/>
      <c r="I30" s="5"/>
      <c r="J30" s="5"/>
      <c r="K30" s="5" t="s">
        <v>13</v>
      </c>
      <c r="L30" s="5"/>
      <c r="M30" s="5"/>
      <c r="N30" s="18"/>
    </row>
    <row r="31" spans="1:20" ht="10.5" customHeight="1" x14ac:dyDescent="0.2">
      <c r="A31" s="5" t="s">
        <v>4</v>
      </c>
      <c r="H31" s="5"/>
      <c r="I31" s="5"/>
      <c r="J31" s="5"/>
      <c r="K31" s="5" t="s">
        <v>4</v>
      </c>
      <c r="L31" s="5"/>
      <c r="M31" s="5"/>
      <c r="N31" s="18"/>
    </row>
    <row r="32" spans="1:20" x14ac:dyDescent="0.2">
      <c r="Q32" t="s">
        <v>27</v>
      </c>
    </row>
  </sheetData>
  <mergeCells count="11">
    <mergeCell ref="L6:Q6"/>
    <mergeCell ref="A28:J28"/>
    <mergeCell ref="K28:Q28"/>
    <mergeCell ref="O7:Q7"/>
    <mergeCell ref="A6:A8"/>
    <mergeCell ref="L7:N7"/>
    <mergeCell ref="H7:J7"/>
    <mergeCell ref="E7:G7"/>
    <mergeCell ref="B7:D7"/>
    <mergeCell ref="B6:J6"/>
    <mergeCell ref="K6:K8"/>
  </mergeCells>
  <pageMargins left="0.78740157480314965" right="0.78740157480314965" top="0.98425196850393704" bottom="0.98425196850393704" header="0.51181102362204722" footer="0.51181102362204722"/>
  <pageSetup paperSize="9" orientation="portrait" useFirstPageNumber="1" horizontalDpi="4294967292" verticalDpi="4294967292" r:id="rId1"/>
  <headerFooter alignWithMargins="0">
    <oddHeader>&amp;C&amp;"Optimum,Fett"&amp;9&amp;P</oddHeader>
    <oddFooter>&amp;C&amp;7© Statistisches Landesamt des Freistaates Sachsen  -  Z III 1 - j/13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37"/>
  <sheetViews>
    <sheetView zoomScaleNormal="100" zoomScaleSheetLayoutView="100" workbookViewId="0"/>
  </sheetViews>
  <sheetFormatPr baseColWidth="10" defaultColWidth="13.85546875" defaultRowHeight="12.75" x14ac:dyDescent="0.2"/>
  <cols>
    <col min="1" max="1" width="17.85546875" style="1" customWidth="1"/>
    <col min="2" max="2" width="8.140625" style="1" customWidth="1"/>
    <col min="3" max="3" width="8.7109375" style="1" customWidth="1"/>
    <col min="4" max="4" width="6.28515625" style="1" customWidth="1"/>
    <col min="5" max="5" width="8.7109375" style="1" customWidth="1"/>
    <col min="6" max="6" width="8.5703125" style="1" customWidth="1"/>
    <col min="7" max="7" width="6" style="1" customWidth="1"/>
    <col min="8" max="9" width="6.28515625" style="1" customWidth="1"/>
    <col min="10" max="10" width="5.85546875" style="1" customWidth="1"/>
    <col min="11" max="11" width="20.85546875" style="1" customWidth="1"/>
    <col min="12" max="13" width="11" customWidth="1"/>
    <col min="14" max="14" width="11" style="17" customWidth="1"/>
    <col min="15" max="17" width="11" customWidth="1"/>
  </cols>
  <sheetData>
    <row r="1" spans="1:17" ht="12.4" customHeight="1" x14ac:dyDescent="0.2"/>
    <row r="2" spans="1:17" ht="12.4" customHeight="1" x14ac:dyDescent="0.2"/>
    <row r="3" spans="1:17" ht="12.4" customHeight="1" x14ac:dyDescent="0.2"/>
    <row r="4" spans="1:17" ht="12.4" customHeight="1" x14ac:dyDescent="0.2">
      <c r="A4" s="2"/>
      <c r="B4" s="2"/>
      <c r="C4" s="2"/>
      <c r="D4" s="2"/>
      <c r="E4" s="2"/>
      <c r="F4" s="2"/>
      <c r="K4" s="2"/>
    </row>
    <row r="5" spans="1:17" ht="12.4" customHeight="1" x14ac:dyDescent="0.2">
      <c r="A5" s="148"/>
      <c r="B5" s="148"/>
      <c r="C5" s="148"/>
      <c r="D5" s="148"/>
      <c r="E5" s="148"/>
      <c r="F5" s="148"/>
      <c r="K5" s="148"/>
    </row>
    <row r="6" spans="1:17" s="4" customFormat="1" ht="20.100000000000001" customHeight="1" x14ac:dyDescent="0.2">
      <c r="A6" s="177" t="s">
        <v>32</v>
      </c>
      <c r="B6" s="175" t="s">
        <v>16</v>
      </c>
      <c r="C6" s="176"/>
      <c r="D6" s="176"/>
      <c r="E6" s="176"/>
      <c r="F6" s="176"/>
      <c r="G6" s="176"/>
      <c r="H6" s="176"/>
      <c r="I6" s="176"/>
      <c r="J6" s="176"/>
      <c r="K6" s="177" t="s">
        <v>32</v>
      </c>
      <c r="L6" s="175" t="s">
        <v>16</v>
      </c>
      <c r="M6" s="176"/>
      <c r="N6" s="176"/>
      <c r="O6" s="176"/>
      <c r="P6" s="176"/>
      <c r="Q6" s="176"/>
    </row>
    <row r="7" spans="1:17" s="4" customFormat="1" ht="25.5" customHeight="1" x14ac:dyDescent="0.2">
      <c r="A7" s="178"/>
      <c r="B7" s="182" t="s">
        <v>0</v>
      </c>
      <c r="C7" s="183"/>
      <c r="D7" s="184"/>
      <c r="E7" s="181" t="s">
        <v>1</v>
      </c>
      <c r="F7" s="180"/>
      <c r="G7" s="179"/>
      <c r="H7" s="181" t="s">
        <v>14</v>
      </c>
      <c r="I7" s="180"/>
      <c r="J7" s="180"/>
      <c r="K7" s="178"/>
      <c r="L7" s="180" t="s">
        <v>15</v>
      </c>
      <c r="M7" s="180"/>
      <c r="N7" s="179"/>
      <c r="O7" s="175" t="s">
        <v>19</v>
      </c>
      <c r="P7" s="176"/>
      <c r="Q7" s="176"/>
    </row>
    <row r="8" spans="1:17" s="4" customFormat="1" ht="31.9" customHeight="1" x14ac:dyDescent="0.2">
      <c r="A8" s="179"/>
      <c r="B8" s="19" t="s">
        <v>18</v>
      </c>
      <c r="C8" s="130" t="s">
        <v>17</v>
      </c>
      <c r="D8" s="29" t="s">
        <v>2</v>
      </c>
      <c r="E8" s="19" t="s">
        <v>18</v>
      </c>
      <c r="F8" s="130" t="s">
        <v>17</v>
      </c>
      <c r="G8" s="16" t="s">
        <v>2</v>
      </c>
      <c r="H8" s="19" t="s">
        <v>18</v>
      </c>
      <c r="I8" s="130" t="s">
        <v>17</v>
      </c>
      <c r="J8" s="20" t="s">
        <v>2</v>
      </c>
      <c r="K8" s="179"/>
      <c r="L8" s="130" t="s">
        <v>18</v>
      </c>
      <c r="M8" s="130" t="s">
        <v>17</v>
      </c>
      <c r="N8" s="21" t="s">
        <v>2</v>
      </c>
      <c r="O8" s="19" t="s">
        <v>18</v>
      </c>
      <c r="P8" s="130" t="s">
        <v>17</v>
      </c>
      <c r="Q8" s="30" t="s">
        <v>2</v>
      </c>
    </row>
    <row r="9" spans="1:17" s="4" customFormat="1" ht="21.4" customHeight="1" x14ac:dyDescent="0.2">
      <c r="A9" s="99" t="s">
        <v>5</v>
      </c>
      <c r="B9" s="22">
        <v>7137</v>
      </c>
      <c r="C9" s="23">
        <v>5350</v>
      </c>
      <c r="D9" s="146">
        <f t="shared" ref="D9:D25" si="0">C9*100/B9</f>
        <v>74.961468404091349</v>
      </c>
      <c r="E9" s="23">
        <v>4143</v>
      </c>
      <c r="F9" s="23">
        <v>2941</v>
      </c>
      <c r="G9" s="146">
        <f t="shared" ref="G9:G25" si="1">F9*100/E9</f>
        <v>70.987207337678015</v>
      </c>
      <c r="H9" s="23">
        <v>736</v>
      </c>
      <c r="I9" s="23">
        <v>0</v>
      </c>
      <c r="J9" s="146">
        <f t="shared" ref="J9:J25" si="2">I9*100/H9</f>
        <v>0</v>
      </c>
      <c r="K9" s="99" t="s">
        <v>5</v>
      </c>
      <c r="L9" s="124">
        <v>466</v>
      </c>
      <c r="M9" s="124">
        <v>392</v>
      </c>
      <c r="N9" s="144">
        <f t="shared" ref="N9:N25" si="3">M9*100/L9</f>
        <v>84.12017167381974</v>
      </c>
      <c r="O9" s="143">
        <v>0</v>
      </c>
      <c r="P9" s="143">
        <v>0</v>
      </c>
      <c r="Q9" s="151">
        <v>0</v>
      </c>
    </row>
    <row r="10" spans="1:17" s="4" customFormat="1" ht="19.5" customHeight="1" x14ac:dyDescent="0.2">
      <c r="A10" s="97" t="s">
        <v>20</v>
      </c>
      <c r="B10" s="24">
        <f>3833+2099+2885+3342</f>
        <v>12159</v>
      </c>
      <c r="C10" s="147">
        <f>2889+1715+1621+2767</f>
        <v>8992</v>
      </c>
      <c r="D10" s="146">
        <f t="shared" si="0"/>
        <v>73.953450119253233</v>
      </c>
      <c r="E10" s="147">
        <f>3536+2006+2628+2882</f>
        <v>11052</v>
      </c>
      <c r="F10" s="147">
        <f>2694+1026+1510+2664</f>
        <v>7894</v>
      </c>
      <c r="G10" s="146">
        <f t="shared" si="1"/>
        <v>71.425986246833148</v>
      </c>
      <c r="H10" s="147">
        <f>1575+0+601+1501</f>
        <v>3677</v>
      </c>
      <c r="I10" s="147">
        <f>970+0+0+1349</f>
        <v>2319</v>
      </c>
      <c r="J10" s="146">
        <f t="shared" si="2"/>
        <v>63.067718248572206</v>
      </c>
      <c r="K10" s="97" t="s">
        <v>20</v>
      </c>
      <c r="L10" s="124">
        <f>555+272+65+210</f>
        <v>1102</v>
      </c>
      <c r="M10" s="124">
        <f>296+0+13+193</f>
        <v>502</v>
      </c>
      <c r="N10" s="144">
        <f t="shared" si="3"/>
        <v>45.553539019963701</v>
      </c>
      <c r="O10" s="143">
        <v>0</v>
      </c>
      <c r="P10" s="143">
        <v>0</v>
      </c>
      <c r="Q10" s="151">
        <v>0</v>
      </c>
    </row>
    <row r="11" spans="1:17" s="4" customFormat="1" ht="14.25" customHeight="1" x14ac:dyDescent="0.2">
      <c r="A11" s="97" t="s">
        <v>21</v>
      </c>
      <c r="B11" s="24">
        <f>2755+4984+4744</f>
        <v>12483</v>
      </c>
      <c r="C11" s="147">
        <f>1820+3719+3396</f>
        <v>8935</v>
      </c>
      <c r="D11" s="146">
        <f t="shared" si="0"/>
        <v>71.57734518945766</v>
      </c>
      <c r="E11" s="147">
        <f>2115+4023+3403</f>
        <v>9541</v>
      </c>
      <c r="F11" s="147">
        <f>1720+3339+3004</f>
        <v>8063</v>
      </c>
      <c r="G11" s="146">
        <f t="shared" si="1"/>
        <v>84.508961324808723</v>
      </c>
      <c r="H11" s="147">
        <f>936+1270+1551</f>
        <v>3757</v>
      </c>
      <c r="I11" s="147">
        <f>544+813+710</f>
        <v>2067</v>
      </c>
      <c r="J11" s="146">
        <f t="shared" si="2"/>
        <v>55.017301038062286</v>
      </c>
      <c r="K11" s="97" t="s">
        <v>21</v>
      </c>
      <c r="L11" s="124">
        <f>341+724+462</f>
        <v>1527</v>
      </c>
      <c r="M11" s="124">
        <f>319+662+386</f>
        <v>1367</v>
      </c>
      <c r="N11" s="144">
        <f t="shared" si="3"/>
        <v>89.521938441388343</v>
      </c>
      <c r="O11" s="143">
        <v>115</v>
      </c>
      <c r="P11" s="143">
        <v>115</v>
      </c>
      <c r="Q11" s="142">
        <f>P11*100/O11</f>
        <v>100</v>
      </c>
    </row>
    <row r="12" spans="1:17" s="4" customFormat="1" ht="14.25" customHeight="1" x14ac:dyDescent="0.2">
      <c r="A12" s="97" t="s">
        <v>6</v>
      </c>
      <c r="B12" s="24">
        <v>7634</v>
      </c>
      <c r="C12" s="147">
        <v>4218</v>
      </c>
      <c r="D12" s="146">
        <f t="shared" si="0"/>
        <v>55.252816347917211</v>
      </c>
      <c r="E12" s="147">
        <v>7798</v>
      </c>
      <c r="F12" s="147">
        <v>3551</v>
      </c>
      <c r="G12" s="146">
        <f t="shared" si="1"/>
        <v>45.537317260836112</v>
      </c>
      <c r="H12" s="147">
        <v>3316</v>
      </c>
      <c r="I12" s="147">
        <v>1533</v>
      </c>
      <c r="J12" s="146">
        <f t="shared" si="2"/>
        <v>46.230398069963812</v>
      </c>
      <c r="K12" s="97" t="s">
        <v>6</v>
      </c>
      <c r="L12" s="124">
        <v>678</v>
      </c>
      <c r="M12" s="124">
        <v>253</v>
      </c>
      <c r="N12" s="144">
        <f t="shared" si="3"/>
        <v>37.315634218289084</v>
      </c>
      <c r="O12" s="143">
        <v>0</v>
      </c>
      <c r="P12" s="143">
        <v>0</v>
      </c>
      <c r="Q12" s="142">
        <v>0</v>
      </c>
    </row>
    <row r="13" spans="1:17" s="4" customFormat="1" ht="14.25" customHeight="1" x14ac:dyDescent="0.2">
      <c r="A13" s="97" t="s">
        <v>22</v>
      </c>
      <c r="B13" s="24">
        <f>4415+7087</f>
        <v>11502</v>
      </c>
      <c r="C13" s="147">
        <f>3573+5775</f>
        <v>9348</v>
      </c>
      <c r="D13" s="146">
        <f t="shared" si="0"/>
        <v>81.272822117892545</v>
      </c>
      <c r="E13" s="147">
        <f>3839+6701</f>
        <v>10540</v>
      </c>
      <c r="F13" s="147">
        <f>3423+6175</f>
        <v>9598</v>
      </c>
      <c r="G13" s="146">
        <f t="shared" si="1"/>
        <v>91.062618595825427</v>
      </c>
      <c r="H13" s="147">
        <f>1216+3015</f>
        <v>4231</v>
      </c>
      <c r="I13" s="147">
        <f>809+2765</f>
        <v>3574</v>
      </c>
      <c r="J13" s="146">
        <f t="shared" si="2"/>
        <v>84.471756086031675</v>
      </c>
      <c r="K13" s="97" t="s">
        <v>22</v>
      </c>
      <c r="L13" s="124">
        <f>366+1044</f>
        <v>1410</v>
      </c>
      <c r="M13" s="124">
        <f>318+843</f>
        <v>1161</v>
      </c>
      <c r="N13" s="144">
        <f t="shared" si="3"/>
        <v>82.340425531914889</v>
      </c>
      <c r="O13" s="143">
        <v>36</v>
      </c>
      <c r="P13" s="143">
        <v>36</v>
      </c>
      <c r="Q13" s="142">
        <f>P13*100/O13</f>
        <v>100</v>
      </c>
    </row>
    <row r="14" spans="1:17" s="4" customFormat="1" ht="31.9" customHeight="1" x14ac:dyDescent="0.2">
      <c r="A14" s="26" t="s">
        <v>28</v>
      </c>
      <c r="B14" s="40">
        <f>SUM(B9:B13)</f>
        <v>50915</v>
      </c>
      <c r="C14" s="140">
        <f>SUM(C9:C13)</f>
        <v>36843</v>
      </c>
      <c r="D14" s="139">
        <f t="shared" si="0"/>
        <v>72.36177943631543</v>
      </c>
      <c r="E14" s="140">
        <f>SUM(E9:E13)</f>
        <v>43074</v>
      </c>
      <c r="F14" s="140">
        <f>SUM(F9:F13)</f>
        <v>32047</v>
      </c>
      <c r="G14" s="139">
        <f t="shared" si="1"/>
        <v>74.39986999117798</v>
      </c>
      <c r="H14" s="140">
        <f>SUM(H9:H13)</f>
        <v>15717</v>
      </c>
      <c r="I14" s="150">
        <f>SUM(I9:I13)</f>
        <v>9493</v>
      </c>
      <c r="J14" s="139">
        <f t="shared" si="2"/>
        <v>60.399567347458166</v>
      </c>
      <c r="K14" s="26" t="s">
        <v>28</v>
      </c>
      <c r="L14" s="118">
        <f>SUM(L9:L13)</f>
        <v>5183</v>
      </c>
      <c r="M14" s="149">
        <f>SUM(M9:M13)</f>
        <v>3675</v>
      </c>
      <c r="N14" s="135">
        <f t="shared" si="3"/>
        <v>70.904881342851624</v>
      </c>
      <c r="O14" s="134">
        <f>SUM(O9:O13)</f>
        <v>151</v>
      </c>
      <c r="P14" s="134">
        <f>SUM(P9:P13)</f>
        <v>151</v>
      </c>
      <c r="Q14" s="133">
        <f>P14*100/O14</f>
        <v>100</v>
      </c>
    </row>
    <row r="15" spans="1:17" s="4" customFormat="1" ht="19.5" customHeight="1" x14ac:dyDescent="0.2">
      <c r="A15" s="97" t="s">
        <v>7</v>
      </c>
      <c r="B15" s="24">
        <v>29775</v>
      </c>
      <c r="C15" s="147">
        <v>23565</v>
      </c>
      <c r="D15" s="146">
        <f t="shared" si="0"/>
        <v>79.14357682619648</v>
      </c>
      <c r="E15" s="147">
        <v>21479</v>
      </c>
      <c r="F15" s="147">
        <v>18022</v>
      </c>
      <c r="G15" s="146">
        <f t="shared" si="1"/>
        <v>83.9052097397458</v>
      </c>
      <c r="H15" s="147">
        <v>10515</v>
      </c>
      <c r="I15" s="147">
        <v>8122</v>
      </c>
      <c r="J15" s="146">
        <f t="shared" si="2"/>
        <v>77.242035187826914</v>
      </c>
      <c r="K15" s="97" t="s">
        <v>7</v>
      </c>
      <c r="L15" s="123">
        <v>2224</v>
      </c>
      <c r="M15" s="124">
        <v>1892</v>
      </c>
      <c r="N15" s="144">
        <f t="shared" si="3"/>
        <v>85.071942446043167</v>
      </c>
      <c r="O15" s="143">
        <v>0</v>
      </c>
      <c r="P15" s="143">
        <v>0</v>
      </c>
      <c r="Q15" s="142">
        <v>0</v>
      </c>
    </row>
    <row r="16" spans="1:17" s="4" customFormat="1" ht="19.5" customHeight="1" x14ac:dyDescent="0.2">
      <c r="A16" s="97" t="s">
        <v>8</v>
      </c>
      <c r="B16" s="24">
        <f>6688+1295+5297</f>
        <v>13280</v>
      </c>
      <c r="C16" s="147">
        <f>5294+999+4397</f>
        <v>10690</v>
      </c>
      <c r="D16" s="146">
        <f t="shared" si="0"/>
        <v>80.496987951807228</v>
      </c>
      <c r="E16" s="147">
        <f>5487+909+4857</f>
        <v>11253</v>
      </c>
      <c r="F16" s="147">
        <f>4631+687+3635</f>
        <v>8953</v>
      </c>
      <c r="G16" s="146">
        <f t="shared" si="1"/>
        <v>79.561005953967836</v>
      </c>
      <c r="H16" s="147">
        <f>2246+566+2297</f>
        <v>5109</v>
      </c>
      <c r="I16" s="147">
        <f>1685+539+1962</f>
        <v>4186</v>
      </c>
      <c r="J16" s="146">
        <f t="shared" si="2"/>
        <v>81.933842239185751</v>
      </c>
      <c r="K16" s="97" t="s">
        <v>8</v>
      </c>
      <c r="L16" s="123">
        <f>481+285+592</f>
        <v>1358</v>
      </c>
      <c r="M16" s="124">
        <f>373+283+527</f>
        <v>1183</v>
      </c>
      <c r="N16" s="144">
        <f t="shared" si="3"/>
        <v>87.113402061855666</v>
      </c>
      <c r="O16" s="143">
        <f>55+68</f>
        <v>123</v>
      </c>
      <c r="P16" s="143">
        <f>55+23</f>
        <v>78</v>
      </c>
      <c r="Q16" s="142">
        <f>P16*100/O16</f>
        <v>63.414634146341463</v>
      </c>
    </row>
    <row r="17" spans="1:20" s="4" customFormat="1" ht="14.25" customHeight="1" x14ac:dyDescent="0.2">
      <c r="A17" s="97" t="s">
        <v>23</v>
      </c>
      <c r="B17" s="24">
        <f>2259+2935+4639</f>
        <v>9833</v>
      </c>
      <c r="C17" s="147">
        <f>1647+2054+3809</f>
        <v>7510</v>
      </c>
      <c r="D17" s="146">
        <f t="shared" si="0"/>
        <v>76.375470354927288</v>
      </c>
      <c r="E17" s="147">
        <f>2000+2732+3734</f>
        <v>8466</v>
      </c>
      <c r="F17" s="147">
        <f>1752+2545+2714</f>
        <v>7011</v>
      </c>
      <c r="G17" s="146">
        <f t="shared" si="1"/>
        <v>82.813607370659113</v>
      </c>
      <c r="H17" s="147">
        <f>1069+372+1384</f>
        <v>2825</v>
      </c>
      <c r="I17" s="147">
        <f>947+317+1182</f>
        <v>2446</v>
      </c>
      <c r="J17" s="146">
        <f t="shared" si="2"/>
        <v>86.584070796460182</v>
      </c>
      <c r="K17" s="97" t="s">
        <v>23</v>
      </c>
      <c r="L17" s="123">
        <f>423+310+612</f>
        <v>1345</v>
      </c>
      <c r="M17" s="124">
        <f>369+70+567</f>
        <v>1006</v>
      </c>
      <c r="N17" s="144">
        <f t="shared" si="3"/>
        <v>74.795539033457246</v>
      </c>
      <c r="O17" s="143">
        <v>0</v>
      </c>
      <c r="P17" s="143">
        <v>0</v>
      </c>
      <c r="Q17" s="142">
        <v>0</v>
      </c>
    </row>
    <row r="18" spans="1:20" s="4" customFormat="1" ht="14.25" customHeight="1" x14ac:dyDescent="0.2">
      <c r="A18" s="97" t="s">
        <v>9</v>
      </c>
      <c r="B18" s="24">
        <f>6691+3586</f>
        <v>10277</v>
      </c>
      <c r="C18" s="147">
        <f>5108+2965</f>
        <v>8073</v>
      </c>
      <c r="D18" s="146">
        <f t="shared" si="0"/>
        <v>78.554052739126206</v>
      </c>
      <c r="E18" s="147">
        <f>5506+3297</f>
        <v>8803</v>
      </c>
      <c r="F18" s="147">
        <f>3862+2499</f>
        <v>6361</v>
      </c>
      <c r="G18" s="146">
        <f t="shared" si="1"/>
        <v>72.25945700329433</v>
      </c>
      <c r="H18" s="147">
        <f>879+1014</f>
        <v>1893</v>
      </c>
      <c r="I18" s="147">
        <f>740+770</f>
        <v>1510</v>
      </c>
      <c r="J18" s="146">
        <f t="shared" si="2"/>
        <v>79.767564712097197</v>
      </c>
      <c r="K18" s="97" t="s">
        <v>9</v>
      </c>
      <c r="L18" s="123">
        <f>536+488</f>
        <v>1024</v>
      </c>
      <c r="M18" s="124">
        <f>220+306</f>
        <v>526</v>
      </c>
      <c r="N18" s="144">
        <f t="shared" si="3"/>
        <v>51.3671875</v>
      </c>
      <c r="O18" s="143">
        <f>0+0</f>
        <v>0</v>
      </c>
      <c r="P18" s="143">
        <f>0+0</f>
        <v>0</v>
      </c>
      <c r="Q18" s="142">
        <v>0</v>
      </c>
    </row>
    <row r="19" spans="1:20" s="4" customFormat="1" ht="24" customHeight="1" x14ac:dyDescent="0.2">
      <c r="A19" s="96" t="s">
        <v>24</v>
      </c>
      <c r="B19" s="24">
        <f>4797+4955</f>
        <v>9752</v>
      </c>
      <c r="C19" s="147">
        <f>3549+3667</f>
        <v>7216</v>
      </c>
      <c r="D19" s="146">
        <f t="shared" si="0"/>
        <v>73.995077932731746</v>
      </c>
      <c r="E19" s="147">
        <f>4446+4689</f>
        <v>9135</v>
      </c>
      <c r="F19" s="147">
        <f>4160+4118</f>
        <v>8278</v>
      </c>
      <c r="G19" s="146">
        <f t="shared" si="1"/>
        <v>90.618500273672694</v>
      </c>
      <c r="H19" s="147">
        <f>1575+2211</f>
        <v>3786</v>
      </c>
      <c r="I19" s="147">
        <f>1251+1905</f>
        <v>3156</v>
      </c>
      <c r="J19" s="146">
        <f t="shared" si="2"/>
        <v>83.359746434231383</v>
      </c>
      <c r="K19" s="96" t="s">
        <v>24</v>
      </c>
      <c r="L19" s="123">
        <f>396+689</f>
        <v>1085</v>
      </c>
      <c r="M19" s="124">
        <f>322+580</f>
        <v>902</v>
      </c>
      <c r="N19" s="144">
        <f t="shared" si="3"/>
        <v>83.133640552995388</v>
      </c>
      <c r="O19" s="143">
        <f>42+37</f>
        <v>79</v>
      </c>
      <c r="P19" s="143">
        <f>42+30</f>
        <v>72</v>
      </c>
      <c r="Q19" s="142">
        <f>P19*100/O19</f>
        <v>91.139240506329116</v>
      </c>
    </row>
    <row r="20" spans="1:20" s="4" customFormat="1" ht="31.9" customHeight="1" x14ac:dyDescent="0.2">
      <c r="A20" s="141" t="s">
        <v>29</v>
      </c>
      <c r="B20" s="40">
        <f>SUM(B15:B19)</f>
        <v>72917</v>
      </c>
      <c r="C20" s="140">
        <f>SUM(C15:C19)</f>
        <v>57054</v>
      </c>
      <c r="D20" s="139">
        <f t="shared" si="0"/>
        <v>78.245128022271899</v>
      </c>
      <c r="E20" s="140">
        <f>SUM(E15:E19)</f>
        <v>59136</v>
      </c>
      <c r="F20" s="140">
        <f>SUM(F15:F19)</f>
        <v>48625</v>
      </c>
      <c r="G20" s="139">
        <f t="shared" si="1"/>
        <v>82.225716991341997</v>
      </c>
      <c r="H20" s="140">
        <f>SUM(H15:H19)</f>
        <v>24128</v>
      </c>
      <c r="I20" s="140">
        <f>SUM(I15:I19)</f>
        <v>19420</v>
      </c>
      <c r="J20" s="139">
        <f t="shared" si="2"/>
        <v>80.487400530503976</v>
      </c>
      <c r="K20" s="141" t="s">
        <v>29</v>
      </c>
      <c r="L20" s="118">
        <f>SUM(L15:L19)</f>
        <v>7036</v>
      </c>
      <c r="M20" s="149">
        <f>SUM(M15:M19)</f>
        <v>5509</v>
      </c>
      <c r="N20" s="135">
        <f t="shared" si="3"/>
        <v>78.297328027288231</v>
      </c>
      <c r="O20" s="134">
        <f>SUM(O15:O19)</f>
        <v>202</v>
      </c>
      <c r="P20" s="134">
        <f>SUM(P15:P19)</f>
        <v>150</v>
      </c>
      <c r="Q20" s="133">
        <f>P20*100/O20</f>
        <v>74.257425742574256</v>
      </c>
    </row>
    <row r="21" spans="1:20" s="4" customFormat="1" ht="19.5" customHeight="1" x14ac:dyDescent="0.2">
      <c r="A21" s="145" t="s">
        <v>10</v>
      </c>
      <c r="B21" s="24">
        <v>27744</v>
      </c>
      <c r="C21" s="147">
        <v>22593</v>
      </c>
      <c r="D21" s="146">
        <f t="shared" si="0"/>
        <v>81.433823529411768</v>
      </c>
      <c r="E21" s="147">
        <v>18540</v>
      </c>
      <c r="F21" s="147">
        <v>15112</v>
      </c>
      <c r="G21" s="146">
        <f t="shared" si="1"/>
        <v>81.510248112189856</v>
      </c>
      <c r="H21" s="147">
        <v>7091</v>
      </c>
      <c r="I21" s="147">
        <v>5536</v>
      </c>
      <c r="J21" s="146">
        <f t="shared" si="2"/>
        <v>78.070793964179941</v>
      </c>
      <c r="K21" s="145" t="s">
        <v>10</v>
      </c>
      <c r="L21" s="123">
        <v>2826</v>
      </c>
      <c r="M21" s="124">
        <v>2304</v>
      </c>
      <c r="N21" s="144">
        <f t="shared" si="3"/>
        <v>81.528662420382162</v>
      </c>
      <c r="O21" s="143">
        <v>325</v>
      </c>
      <c r="P21" s="143">
        <v>325</v>
      </c>
      <c r="Q21" s="142">
        <f>P21*100/O21</f>
        <v>100</v>
      </c>
    </row>
    <row r="22" spans="1:20" s="4" customFormat="1" ht="19.5" customHeight="1" x14ac:dyDescent="0.2">
      <c r="A22" s="145" t="s">
        <v>25</v>
      </c>
      <c r="B22" s="24">
        <f>5442+6061</f>
        <v>11503</v>
      </c>
      <c r="C22" s="147">
        <f>3875+4272</f>
        <v>8147</v>
      </c>
      <c r="D22" s="146">
        <f t="shared" si="0"/>
        <v>70.825002173346078</v>
      </c>
      <c r="E22" s="147">
        <f>4439+4189</f>
        <v>8628</v>
      </c>
      <c r="F22" s="147">
        <f>3758+3681</f>
        <v>7439</v>
      </c>
      <c r="G22" s="146">
        <f t="shared" si="1"/>
        <v>86.219286045433478</v>
      </c>
      <c r="H22" s="147">
        <f>1470+1573</f>
        <v>3043</v>
      </c>
      <c r="I22" s="147">
        <f>1105+1056</f>
        <v>2161</v>
      </c>
      <c r="J22" s="146">
        <f t="shared" si="2"/>
        <v>71.015445284258959</v>
      </c>
      <c r="K22" s="145" t="s">
        <v>25</v>
      </c>
      <c r="L22" s="123">
        <f>279+268</f>
        <v>547</v>
      </c>
      <c r="M22" s="124">
        <f>256+256</f>
        <v>512</v>
      </c>
      <c r="N22" s="144">
        <f t="shared" si="3"/>
        <v>93.601462522851918</v>
      </c>
      <c r="O22" s="143">
        <v>0</v>
      </c>
      <c r="P22" s="143">
        <v>0</v>
      </c>
      <c r="Q22" s="142">
        <v>0</v>
      </c>
    </row>
    <row r="23" spans="1:20" s="4" customFormat="1" ht="14.25" customHeight="1" x14ac:dyDescent="0.2">
      <c r="A23" s="145" t="s">
        <v>26</v>
      </c>
      <c r="B23" s="24">
        <f>4911+3371</f>
        <v>8282</v>
      </c>
      <c r="C23" s="147">
        <f>2773+2480</f>
        <v>5253</v>
      </c>
      <c r="D23" s="146">
        <f t="shared" si="0"/>
        <v>63.426708524510985</v>
      </c>
      <c r="E23" s="147">
        <f>3726+2456</f>
        <v>6182</v>
      </c>
      <c r="F23" s="147">
        <f>1188+2377</f>
        <v>3565</v>
      </c>
      <c r="G23" s="146">
        <f t="shared" si="1"/>
        <v>57.667421546425103</v>
      </c>
      <c r="H23" s="147">
        <f>792+1277</f>
        <v>2069</v>
      </c>
      <c r="I23" s="147">
        <f>386+1170</f>
        <v>1556</v>
      </c>
      <c r="J23" s="146">
        <f t="shared" si="2"/>
        <v>75.205413243112616</v>
      </c>
      <c r="K23" s="145" t="s">
        <v>26</v>
      </c>
      <c r="L23" s="123">
        <f>336+251</f>
        <v>587</v>
      </c>
      <c r="M23" s="124">
        <f>149+169</f>
        <v>318</v>
      </c>
      <c r="N23" s="144">
        <f t="shared" si="3"/>
        <v>54.173764906303234</v>
      </c>
      <c r="O23" s="143">
        <v>80</v>
      </c>
      <c r="P23" s="143">
        <v>80</v>
      </c>
      <c r="Q23" s="142">
        <f>P23*100/O23</f>
        <v>100</v>
      </c>
    </row>
    <row r="24" spans="1:20" s="4" customFormat="1" ht="31.9" customHeight="1" x14ac:dyDescent="0.2">
      <c r="A24" s="141" t="s">
        <v>30</v>
      </c>
      <c r="B24" s="40">
        <f>B21+B22+B23</f>
        <v>47529</v>
      </c>
      <c r="C24" s="140">
        <f>C21+C22+C23</f>
        <v>35993</v>
      </c>
      <c r="D24" s="139">
        <f t="shared" si="0"/>
        <v>75.728502598413598</v>
      </c>
      <c r="E24" s="140">
        <f>E21+E22+E23</f>
        <v>33350</v>
      </c>
      <c r="F24" s="140">
        <f>F21+F22+F23</f>
        <v>26116</v>
      </c>
      <c r="G24" s="139">
        <f t="shared" si="1"/>
        <v>78.3088455772114</v>
      </c>
      <c r="H24" s="140">
        <f>H21+H22+H23</f>
        <v>12203</v>
      </c>
      <c r="I24" s="140">
        <f>I21+I22+I23</f>
        <v>9253</v>
      </c>
      <c r="J24" s="139">
        <f t="shared" si="2"/>
        <v>75.825616651643045</v>
      </c>
      <c r="K24" s="141" t="s">
        <v>30</v>
      </c>
      <c r="L24" s="118">
        <f>L21+L22+L23</f>
        <v>3960</v>
      </c>
      <c r="M24" s="149">
        <f>M21+M22+M23</f>
        <v>3134</v>
      </c>
      <c r="N24" s="135">
        <f t="shared" si="3"/>
        <v>79.141414141414145</v>
      </c>
      <c r="O24" s="134">
        <f>O21+O22+O23</f>
        <v>405</v>
      </c>
      <c r="P24" s="134">
        <f>P21+P22+P23</f>
        <v>405</v>
      </c>
      <c r="Q24" s="133">
        <f>P24*100/O24</f>
        <v>100</v>
      </c>
    </row>
    <row r="25" spans="1:20" s="4" customFormat="1" ht="28.5" customHeight="1" x14ac:dyDescent="0.2">
      <c r="A25" s="138" t="s">
        <v>11</v>
      </c>
      <c r="B25" s="40">
        <f>B14+B20+B24</f>
        <v>171361</v>
      </c>
      <c r="C25" s="140">
        <f>C14+C20+C24</f>
        <v>129890</v>
      </c>
      <c r="D25" s="139">
        <f t="shared" si="0"/>
        <v>75.799044123225244</v>
      </c>
      <c r="E25" s="140">
        <f>E14+E20+E24</f>
        <v>135560</v>
      </c>
      <c r="F25" s="140">
        <f>F14+F20+F24</f>
        <v>106788</v>
      </c>
      <c r="G25" s="139">
        <f t="shared" si="1"/>
        <v>78.775449985246382</v>
      </c>
      <c r="H25" s="140">
        <f>H14+H20+H24</f>
        <v>52048</v>
      </c>
      <c r="I25" s="140">
        <f>I14+I20+I24</f>
        <v>38166</v>
      </c>
      <c r="J25" s="139">
        <f t="shared" si="2"/>
        <v>73.328466031355674</v>
      </c>
      <c r="K25" s="138" t="s">
        <v>11</v>
      </c>
      <c r="L25" s="118">
        <f>L14+L20+L24</f>
        <v>16179</v>
      </c>
      <c r="M25" s="149">
        <f>M14+M20+M24</f>
        <v>12318</v>
      </c>
      <c r="N25" s="135">
        <f t="shared" si="3"/>
        <v>76.135731503801225</v>
      </c>
      <c r="O25" s="134">
        <f>O14+O20+O24</f>
        <v>758</v>
      </c>
      <c r="P25" s="134">
        <f>P14+P20+P24</f>
        <v>706</v>
      </c>
      <c r="Q25" s="135">
        <f>P25*100/O25</f>
        <v>93.139841688654357</v>
      </c>
    </row>
    <row r="26" spans="1:20" ht="12.75" customHeight="1" x14ac:dyDescent="0.2">
      <c r="A26" s="132"/>
      <c r="B26" s="13"/>
      <c r="C26" s="13"/>
      <c r="D26" s="14"/>
      <c r="E26" s="13"/>
      <c r="F26" s="13"/>
      <c r="G26" s="12"/>
      <c r="H26" s="13"/>
      <c r="I26" s="13"/>
      <c r="J26" s="15"/>
      <c r="K26" s="132"/>
      <c r="L26" s="13"/>
      <c r="M26" s="13"/>
      <c r="N26" s="10"/>
      <c r="Q26" s="131"/>
    </row>
    <row r="27" spans="1:20" ht="12.75" customHeight="1" x14ac:dyDescent="0.2">
      <c r="A27" s="1" t="s">
        <v>12</v>
      </c>
      <c r="J27" s="11"/>
      <c r="K27" s="1" t="s">
        <v>12</v>
      </c>
    </row>
    <row r="28" spans="1:20" ht="21.4" customHeight="1" x14ac:dyDescent="0.2">
      <c r="A28" s="174" t="s">
        <v>31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 t="s">
        <v>31</v>
      </c>
      <c r="L28" s="174"/>
      <c r="M28" s="174"/>
      <c r="N28" s="174"/>
      <c r="O28" s="174"/>
      <c r="P28" s="174"/>
      <c r="Q28" s="174"/>
      <c r="R28" s="114"/>
      <c r="S28" s="114"/>
      <c r="T28" s="114"/>
    </row>
    <row r="29" spans="1:20" ht="10.5" customHeight="1" x14ac:dyDescent="0.2">
      <c r="A29" s="4" t="s">
        <v>3</v>
      </c>
      <c r="G29" s="113"/>
      <c r="H29" s="112"/>
      <c r="I29" s="112"/>
      <c r="J29" s="4"/>
      <c r="K29" s="4" t="s">
        <v>3</v>
      </c>
      <c r="L29" s="4"/>
      <c r="M29" s="4"/>
      <c r="N29" s="111"/>
    </row>
    <row r="30" spans="1:20" ht="10.5" customHeight="1" x14ac:dyDescent="0.2">
      <c r="A30" s="4" t="s">
        <v>13</v>
      </c>
      <c r="G30" s="4"/>
      <c r="H30" s="4"/>
      <c r="I30" s="4"/>
      <c r="J30" s="4"/>
      <c r="K30" s="4" t="s">
        <v>13</v>
      </c>
      <c r="L30" s="4"/>
      <c r="M30" s="4"/>
      <c r="N30" s="111"/>
    </row>
    <row r="31" spans="1:20" ht="10.5" customHeight="1" x14ac:dyDescent="0.2">
      <c r="A31" s="4" t="s">
        <v>4</v>
      </c>
      <c r="H31" s="4"/>
      <c r="I31" s="4"/>
      <c r="J31" s="4"/>
      <c r="K31" s="4" t="s">
        <v>4</v>
      </c>
      <c r="L31" s="4"/>
      <c r="M31" s="4"/>
      <c r="N31" s="111"/>
    </row>
    <row r="35" spans="4:17" x14ac:dyDescent="0.2">
      <c r="D35" s="139"/>
      <c r="G35" s="139"/>
      <c r="J35" s="139"/>
      <c r="L35" s="1"/>
      <c r="M35" s="1"/>
      <c r="N35" s="135"/>
      <c r="O35" s="1"/>
      <c r="P35" s="1"/>
      <c r="Q35" s="135"/>
    </row>
    <row r="36" spans="4:17" x14ac:dyDescent="0.2">
      <c r="D36" s="139"/>
      <c r="G36" s="139"/>
      <c r="J36" s="139"/>
      <c r="L36" s="1"/>
      <c r="M36" s="1"/>
      <c r="N36" s="135"/>
      <c r="O36" s="1"/>
      <c r="P36" s="1"/>
      <c r="Q36" s="135"/>
    </row>
    <row r="37" spans="4:17" x14ac:dyDescent="0.2">
      <c r="D37" s="139"/>
      <c r="G37" s="139"/>
      <c r="J37" s="139"/>
      <c r="L37" s="1"/>
      <c r="M37" s="1"/>
      <c r="N37" s="135"/>
      <c r="O37" s="1"/>
      <c r="P37" s="1"/>
      <c r="Q37" s="135"/>
    </row>
  </sheetData>
  <mergeCells count="11">
    <mergeCell ref="A28:J28"/>
    <mergeCell ref="K28:Q28"/>
    <mergeCell ref="O7:Q7"/>
    <mergeCell ref="A6:A8"/>
    <mergeCell ref="L7:N7"/>
    <mergeCell ref="H7:J7"/>
    <mergeCell ref="E7:G7"/>
    <mergeCell ref="B7:D7"/>
    <mergeCell ref="B6:J6"/>
    <mergeCell ref="K6:K8"/>
    <mergeCell ref="L6:Q6"/>
  </mergeCells>
  <pageMargins left="0.78740157480314965" right="0.78740157480314965" top="0.98425196850393704" bottom="0.98425196850393704" header="0.51181102362204722" footer="0.51181102362204722"/>
  <pageSetup paperSize="9" orientation="portrait" useFirstPageNumber="1" horizontalDpi="4294967292" verticalDpi="4294967292" r:id="rId1"/>
  <headerFooter alignWithMargins="0">
    <oddHeader>&amp;C&amp;"Optimum,Fett"&amp;9&amp;P</oddHeader>
    <oddFooter>&amp;C&amp;7© Statistisches Landesamt des Freistaates Sachsen  -  Z III 1 - j/22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32"/>
  <sheetViews>
    <sheetView zoomScaleNormal="100" zoomScaleSheetLayoutView="100" workbookViewId="0"/>
  </sheetViews>
  <sheetFormatPr baseColWidth="10" defaultColWidth="13.85546875" defaultRowHeight="12.75" x14ac:dyDescent="0.2"/>
  <cols>
    <col min="1" max="1" width="17.85546875" style="33" customWidth="1"/>
    <col min="2" max="3" width="8.28515625" style="33" customWidth="1"/>
    <col min="4" max="4" width="6" style="33" customWidth="1"/>
    <col min="5" max="6" width="8.28515625" style="33" customWidth="1"/>
    <col min="7" max="7" width="6" style="33" customWidth="1"/>
    <col min="8" max="9" width="8.7109375" style="33" customWidth="1"/>
    <col min="10" max="10" width="6.28515625" style="33" customWidth="1"/>
    <col min="11" max="11" width="20.85546875" style="33" customWidth="1"/>
    <col min="12" max="13" width="11" customWidth="1"/>
    <col min="14" max="14" width="11" style="17" customWidth="1"/>
    <col min="15" max="16" width="11" customWidth="1"/>
    <col min="17" max="17" width="11.140625" customWidth="1"/>
  </cols>
  <sheetData>
    <row r="1" spans="1:17" ht="12.4" customHeight="1" x14ac:dyDescent="0.2"/>
    <row r="2" spans="1:17" ht="12.4" customHeight="1" x14ac:dyDescent="0.2"/>
    <row r="3" spans="1:17" ht="12.4" customHeight="1" x14ac:dyDescent="0.2"/>
    <row r="4" spans="1:17" ht="12.4" customHeight="1" x14ac:dyDescent="0.2">
      <c r="A4" s="61"/>
      <c r="B4" s="61"/>
      <c r="C4" s="61"/>
      <c r="D4" s="61"/>
      <c r="E4" s="61"/>
      <c r="F4" s="61"/>
      <c r="K4" s="61"/>
    </row>
    <row r="5" spans="1:17" ht="12.4" customHeight="1" x14ac:dyDescent="0.2">
      <c r="A5" s="60"/>
      <c r="B5" s="60"/>
      <c r="C5" s="60"/>
      <c r="D5" s="60"/>
      <c r="E5" s="60"/>
      <c r="F5" s="60"/>
      <c r="K5" s="60"/>
    </row>
    <row r="6" spans="1:17" s="5" customFormat="1" ht="20.100000000000001" customHeight="1" x14ac:dyDescent="0.2">
      <c r="A6" s="155" t="s">
        <v>33</v>
      </c>
      <c r="B6" s="152" t="s">
        <v>16</v>
      </c>
      <c r="C6" s="153"/>
      <c r="D6" s="153"/>
      <c r="E6" s="153"/>
      <c r="F6" s="153"/>
      <c r="G6" s="153"/>
      <c r="H6" s="153"/>
      <c r="I6" s="153"/>
      <c r="J6" s="153"/>
      <c r="K6" s="155" t="s">
        <v>33</v>
      </c>
      <c r="L6" s="152" t="s">
        <v>16</v>
      </c>
      <c r="M6" s="153"/>
      <c r="N6" s="153"/>
      <c r="O6" s="153"/>
      <c r="P6" s="153"/>
      <c r="Q6" s="153"/>
    </row>
    <row r="7" spans="1:17" s="5" customFormat="1" ht="25.5" customHeight="1" x14ac:dyDescent="0.2">
      <c r="A7" s="156"/>
      <c r="B7" s="160" t="s">
        <v>0</v>
      </c>
      <c r="C7" s="161"/>
      <c r="D7" s="162"/>
      <c r="E7" s="159" t="s">
        <v>1</v>
      </c>
      <c r="F7" s="158"/>
      <c r="G7" s="157"/>
      <c r="H7" s="159" t="s">
        <v>14</v>
      </c>
      <c r="I7" s="158"/>
      <c r="J7" s="158"/>
      <c r="K7" s="156"/>
      <c r="L7" s="158" t="s">
        <v>15</v>
      </c>
      <c r="M7" s="158"/>
      <c r="N7" s="157"/>
      <c r="O7" s="152" t="s">
        <v>19</v>
      </c>
      <c r="P7" s="153"/>
      <c r="Q7" s="153"/>
    </row>
    <row r="8" spans="1:17" s="5" customFormat="1" ht="31.9" customHeight="1" x14ac:dyDescent="0.2">
      <c r="A8" s="157"/>
      <c r="B8" s="55" t="s">
        <v>18</v>
      </c>
      <c r="C8" s="54" t="s">
        <v>17</v>
      </c>
      <c r="D8" s="59" t="s">
        <v>2</v>
      </c>
      <c r="E8" s="55" t="s">
        <v>18</v>
      </c>
      <c r="F8" s="54" t="s">
        <v>17</v>
      </c>
      <c r="G8" s="58" t="s">
        <v>2</v>
      </c>
      <c r="H8" s="55" t="s">
        <v>18</v>
      </c>
      <c r="I8" s="54" t="s">
        <v>17</v>
      </c>
      <c r="J8" s="57" t="s">
        <v>2</v>
      </c>
      <c r="K8" s="157"/>
      <c r="L8" s="54" t="s">
        <v>18</v>
      </c>
      <c r="M8" s="54" t="s">
        <v>17</v>
      </c>
      <c r="N8" s="56" t="s">
        <v>2</v>
      </c>
      <c r="O8" s="55" t="s">
        <v>18</v>
      </c>
      <c r="P8" s="54" t="s">
        <v>17</v>
      </c>
      <c r="Q8" s="53" t="s">
        <v>2</v>
      </c>
    </row>
    <row r="9" spans="1:17" s="5" customFormat="1" ht="21.4" customHeight="1" x14ac:dyDescent="0.2">
      <c r="A9" s="49" t="s">
        <v>5</v>
      </c>
      <c r="B9" s="52">
        <v>9446</v>
      </c>
      <c r="C9" s="51">
        <v>7997</v>
      </c>
      <c r="D9" s="28">
        <f t="shared" ref="D9:D25" si="0">C9/B9*100</f>
        <v>84.660173618462835</v>
      </c>
      <c r="E9" s="51">
        <v>6956</v>
      </c>
      <c r="F9" s="51">
        <v>6429</v>
      </c>
      <c r="G9" s="28">
        <f t="shared" ref="G9:G25" si="1">F9/E9*100</f>
        <v>92.423806785508916</v>
      </c>
      <c r="H9" s="51">
        <v>2871</v>
      </c>
      <c r="I9" s="51">
        <v>2708</v>
      </c>
      <c r="J9" s="28">
        <f t="shared" ref="J9:J25" si="2">I9/H9*100</f>
        <v>94.32253570184605</v>
      </c>
      <c r="K9" s="49" t="s">
        <v>5</v>
      </c>
      <c r="L9" s="42">
        <v>1374</v>
      </c>
      <c r="M9" s="42">
        <v>1097</v>
      </c>
      <c r="N9" s="48">
        <f t="shared" ref="N9:N25" si="3">M9/L9*100</f>
        <v>79.839883551673935</v>
      </c>
      <c r="O9" s="42">
        <v>414</v>
      </c>
      <c r="P9" s="42">
        <v>414</v>
      </c>
      <c r="Q9" s="41">
        <f t="shared" ref="Q9:Q25" si="4">P9/O9*100</f>
        <v>100</v>
      </c>
    </row>
    <row r="10" spans="1:17" s="5" customFormat="1" ht="19.5" customHeight="1" x14ac:dyDescent="0.2">
      <c r="A10" s="44" t="s">
        <v>20</v>
      </c>
      <c r="B10" s="46">
        <f>3080+2836+3363+4235</f>
        <v>13514</v>
      </c>
      <c r="C10" s="45">
        <f>2753+2527+2919+3455</f>
        <v>11654</v>
      </c>
      <c r="D10" s="28">
        <f t="shared" si="0"/>
        <v>86.236495486162497</v>
      </c>
      <c r="E10" s="45">
        <f>2561+2539+2601+3455</f>
        <v>11156</v>
      </c>
      <c r="F10" s="45">
        <f>2164+2287+2494+3025</f>
        <v>9970</v>
      </c>
      <c r="G10" s="28">
        <f t="shared" si="1"/>
        <v>89.368949444245246</v>
      </c>
      <c r="H10" s="45">
        <f>1189+1014+1343+1489</f>
        <v>5035</v>
      </c>
      <c r="I10" s="45">
        <f>626+707+1275+1107</f>
        <v>3715</v>
      </c>
      <c r="J10" s="28">
        <f t="shared" si="2"/>
        <v>73.783515392254216</v>
      </c>
      <c r="K10" s="44" t="s">
        <v>20</v>
      </c>
      <c r="L10" s="42">
        <f>109+195+193+537</f>
        <v>1034</v>
      </c>
      <c r="M10" s="42">
        <f>93+181+164+484</f>
        <v>922</v>
      </c>
      <c r="N10" s="43">
        <f t="shared" si="3"/>
        <v>89.168278529980654</v>
      </c>
      <c r="O10" s="42">
        <f>54+117+111+148</f>
        <v>430</v>
      </c>
      <c r="P10" s="42">
        <f>54+117+111+148</f>
        <v>430</v>
      </c>
      <c r="Q10" s="41">
        <f t="shared" si="4"/>
        <v>100</v>
      </c>
    </row>
    <row r="11" spans="1:17" s="5" customFormat="1" ht="14.25" customHeight="1" x14ac:dyDescent="0.2">
      <c r="A11" s="44" t="s">
        <v>21</v>
      </c>
      <c r="B11" s="46">
        <f>4689+5681+2578</f>
        <v>12948</v>
      </c>
      <c r="C11" s="45">
        <f>3161+4979+2004</f>
        <v>10144</v>
      </c>
      <c r="D11" s="28">
        <f t="shared" si="0"/>
        <v>78.344145814025339</v>
      </c>
      <c r="E11" s="45">
        <f>3515+4001+1840</f>
        <v>9356</v>
      </c>
      <c r="F11" s="45">
        <f>2750+3447+1755</f>
        <v>7952</v>
      </c>
      <c r="G11" s="28">
        <f t="shared" si="1"/>
        <v>84.993587002992726</v>
      </c>
      <c r="H11" s="45">
        <f>1804+1123+871</f>
        <v>3798</v>
      </c>
      <c r="I11" s="45">
        <f>610+1086+728</f>
        <v>2424</v>
      </c>
      <c r="J11" s="28">
        <f t="shared" si="2"/>
        <v>63.823064770932071</v>
      </c>
      <c r="K11" s="44" t="s">
        <v>21</v>
      </c>
      <c r="L11" s="42">
        <f>342+808+334</f>
        <v>1484</v>
      </c>
      <c r="M11" s="42">
        <f>97+555+302</f>
        <v>954</v>
      </c>
      <c r="N11" s="43">
        <f t="shared" si="3"/>
        <v>64.285714285714292</v>
      </c>
      <c r="O11" s="42">
        <f>84+244+28</f>
        <v>356</v>
      </c>
      <c r="P11" s="42">
        <f>84+244+28</f>
        <v>356</v>
      </c>
      <c r="Q11" s="41">
        <f t="shared" si="4"/>
        <v>100</v>
      </c>
    </row>
    <row r="12" spans="1:17" s="5" customFormat="1" ht="14.25" customHeight="1" x14ac:dyDescent="0.2">
      <c r="A12" s="44" t="s">
        <v>6</v>
      </c>
      <c r="B12" s="46">
        <v>8603</v>
      </c>
      <c r="C12" s="45">
        <v>7864</v>
      </c>
      <c r="D12" s="28">
        <f t="shared" si="0"/>
        <v>91.409973265140067</v>
      </c>
      <c r="E12" s="45">
        <v>6866</v>
      </c>
      <c r="F12" s="45">
        <v>6422</v>
      </c>
      <c r="G12" s="28">
        <f t="shared" si="1"/>
        <v>93.533352752694427</v>
      </c>
      <c r="H12" s="45">
        <v>3154</v>
      </c>
      <c r="I12" s="45">
        <v>2849</v>
      </c>
      <c r="J12" s="28">
        <f t="shared" si="2"/>
        <v>90.329740012682308</v>
      </c>
      <c r="K12" s="44" t="s">
        <v>6</v>
      </c>
      <c r="L12" s="42">
        <v>860</v>
      </c>
      <c r="M12" s="42">
        <v>821</v>
      </c>
      <c r="N12" s="43">
        <f t="shared" si="3"/>
        <v>95.465116279069775</v>
      </c>
      <c r="O12" s="42">
        <v>46</v>
      </c>
      <c r="P12" s="42">
        <v>46</v>
      </c>
      <c r="Q12" s="41">
        <f t="shared" si="4"/>
        <v>100</v>
      </c>
    </row>
    <row r="13" spans="1:17" s="5" customFormat="1" ht="14.25" customHeight="1" x14ac:dyDescent="0.2">
      <c r="A13" s="44" t="s">
        <v>22</v>
      </c>
      <c r="B13" s="46">
        <f>7439+4417</f>
        <v>11856</v>
      </c>
      <c r="C13" s="45">
        <f>6482+3983</f>
        <v>10465</v>
      </c>
      <c r="D13" s="28">
        <f t="shared" si="0"/>
        <v>88.267543859649123</v>
      </c>
      <c r="E13" s="45">
        <f>6054+3764</f>
        <v>9818</v>
      </c>
      <c r="F13" s="45">
        <f>5863+3676</f>
        <v>9539</v>
      </c>
      <c r="G13" s="28">
        <f t="shared" si="1"/>
        <v>97.158280708902012</v>
      </c>
      <c r="H13" s="45">
        <f>2836+2165</f>
        <v>5001</v>
      </c>
      <c r="I13" s="45">
        <f>2744+2021</f>
        <v>4765</v>
      </c>
      <c r="J13" s="28">
        <f t="shared" si="2"/>
        <v>95.280943811237748</v>
      </c>
      <c r="K13" s="44" t="s">
        <v>22</v>
      </c>
      <c r="L13" s="42">
        <f>1050+305</f>
        <v>1355</v>
      </c>
      <c r="M13" s="42">
        <f>959+295</f>
        <v>1254</v>
      </c>
      <c r="N13" s="43">
        <f t="shared" si="3"/>
        <v>92.546125461254618</v>
      </c>
      <c r="O13" s="42">
        <f>84+200</f>
        <v>284</v>
      </c>
      <c r="P13" s="42">
        <f>84+200</f>
        <v>284</v>
      </c>
      <c r="Q13" s="41">
        <f t="shared" si="4"/>
        <v>100</v>
      </c>
    </row>
    <row r="14" spans="1:17" s="5" customFormat="1" ht="31.9" customHeight="1" x14ac:dyDescent="0.2">
      <c r="A14" s="26" t="s">
        <v>28</v>
      </c>
      <c r="B14" s="40">
        <f>SUM(B9:B13)</f>
        <v>56367</v>
      </c>
      <c r="C14" s="39">
        <f>SUM(C9:C13)</f>
        <v>48124</v>
      </c>
      <c r="D14" s="38">
        <f t="shared" si="0"/>
        <v>85.376195291571307</v>
      </c>
      <c r="E14" s="39">
        <f>SUM(E9:E13)</f>
        <v>44152</v>
      </c>
      <c r="F14" s="39">
        <f>SUM(F9:F13)</f>
        <v>40312</v>
      </c>
      <c r="G14" s="38">
        <f t="shared" si="1"/>
        <v>91.30277224134808</v>
      </c>
      <c r="H14" s="39">
        <f>SUM(H9:H13)</f>
        <v>19859</v>
      </c>
      <c r="I14" s="39">
        <f>SUM(I9:I13)</f>
        <v>16461</v>
      </c>
      <c r="J14" s="38">
        <f t="shared" si="2"/>
        <v>82.889370058915361</v>
      </c>
      <c r="K14" s="26" t="s">
        <v>28</v>
      </c>
      <c r="L14" s="27">
        <f>SUM(L9:L13)</f>
        <v>6107</v>
      </c>
      <c r="M14" s="27">
        <f>SUM(M9:M13)</f>
        <v>5048</v>
      </c>
      <c r="N14" s="36">
        <f t="shared" si="3"/>
        <v>82.659243491075813</v>
      </c>
      <c r="O14" s="27">
        <f>SUM(O9:O13)</f>
        <v>1530</v>
      </c>
      <c r="P14" s="27">
        <f>SUM(P9:P13)</f>
        <v>1530</v>
      </c>
      <c r="Q14" s="31">
        <f t="shared" si="4"/>
        <v>100</v>
      </c>
    </row>
    <row r="15" spans="1:17" s="5" customFormat="1" ht="19.5" customHeight="1" x14ac:dyDescent="0.2">
      <c r="A15" s="44" t="s">
        <v>7</v>
      </c>
      <c r="B15" s="46">
        <v>27535</v>
      </c>
      <c r="C15" s="45">
        <v>24966</v>
      </c>
      <c r="D15" s="28">
        <f t="shared" si="0"/>
        <v>90.670056291992012</v>
      </c>
      <c r="E15" s="45">
        <v>17289</v>
      </c>
      <c r="F15" s="45">
        <v>16814</v>
      </c>
      <c r="G15" s="28">
        <f t="shared" si="1"/>
        <v>97.252588350974605</v>
      </c>
      <c r="H15" s="45">
        <v>7910</v>
      </c>
      <c r="I15" s="45">
        <v>7434</v>
      </c>
      <c r="J15" s="28">
        <f t="shared" si="2"/>
        <v>93.982300884955748</v>
      </c>
      <c r="K15" s="44" t="s">
        <v>7</v>
      </c>
      <c r="L15" s="42">
        <v>2331</v>
      </c>
      <c r="M15" s="42">
        <v>1976</v>
      </c>
      <c r="N15" s="43">
        <f t="shared" si="3"/>
        <v>84.770484770484771</v>
      </c>
      <c r="O15" s="42">
        <v>557</v>
      </c>
      <c r="P15" s="42">
        <v>557</v>
      </c>
      <c r="Q15" s="41">
        <f t="shared" si="4"/>
        <v>100</v>
      </c>
    </row>
    <row r="16" spans="1:17" s="5" customFormat="1" ht="19.5" customHeight="1" x14ac:dyDescent="0.2">
      <c r="A16" s="44" t="s">
        <v>8</v>
      </c>
      <c r="B16" s="46">
        <f>6130+1284+5610</f>
        <v>13024</v>
      </c>
      <c r="C16" s="45">
        <f>5505+1150+5103</f>
        <v>11758</v>
      </c>
      <c r="D16" s="28">
        <f t="shared" si="0"/>
        <v>90.279484029484024</v>
      </c>
      <c r="E16" s="45">
        <f>4720+844+4366</f>
        <v>9930</v>
      </c>
      <c r="F16" s="45">
        <f>4449+832+4090</f>
        <v>9371</v>
      </c>
      <c r="G16" s="28">
        <f t="shared" si="1"/>
        <v>94.370594159113793</v>
      </c>
      <c r="H16" s="45">
        <f>1800+877+1964</f>
        <v>4641</v>
      </c>
      <c r="I16" s="45">
        <f>1300+851+1636</f>
        <v>3787</v>
      </c>
      <c r="J16" s="28">
        <f t="shared" si="2"/>
        <v>81.59879336349924</v>
      </c>
      <c r="K16" s="44" t="s">
        <v>8</v>
      </c>
      <c r="L16" s="42">
        <f>497+242+509</f>
        <v>1248</v>
      </c>
      <c r="M16" s="42">
        <f>420+231+336</f>
        <v>987</v>
      </c>
      <c r="N16" s="43">
        <f t="shared" si="3"/>
        <v>79.086538461538453</v>
      </c>
      <c r="O16" s="42">
        <f>211+25+225</f>
        <v>461</v>
      </c>
      <c r="P16" s="42">
        <f>211+25+225</f>
        <v>461</v>
      </c>
      <c r="Q16" s="41">
        <f t="shared" si="4"/>
        <v>100</v>
      </c>
    </row>
    <row r="17" spans="1:20" s="5" customFormat="1" ht="14.25" customHeight="1" x14ac:dyDescent="0.2">
      <c r="A17" s="44" t="s">
        <v>23</v>
      </c>
      <c r="B17" s="46">
        <f>2029+3135+4655</f>
        <v>9819</v>
      </c>
      <c r="C17" s="45">
        <f>1881+2455+4280</f>
        <v>8616</v>
      </c>
      <c r="D17" s="28">
        <f t="shared" si="0"/>
        <v>87.74824320195539</v>
      </c>
      <c r="E17" s="45">
        <f>1640+2719+3851</f>
        <v>8210</v>
      </c>
      <c r="F17" s="45">
        <f>1611+2282+3724</f>
        <v>7617</v>
      </c>
      <c r="G17" s="28">
        <f t="shared" si="1"/>
        <v>92.777101096224115</v>
      </c>
      <c r="H17" s="45">
        <f>812+430+1852</f>
        <v>3094</v>
      </c>
      <c r="I17" s="45">
        <f>474+1570</f>
        <v>2044</v>
      </c>
      <c r="J17" s="28">
        <f t="shared" si="2"/>
        <v>66.063348416289585</v>
      </c>
      <c r="K17" s="44" t="s">
        <v>23</v>
      </c>
      <c r="L17" s="42">
        <f>435+207+624</f>
        <v>1266</v>
      </c>
      <c r="M17" s="42">
        <f>428+159+533</f>
        <v>1120</v>
      </c>
      <c r="N17" s="43">
        <f t="shared" si="3"/>
        <v>88.467614533965246</v>
      </c>
      <c r="O17" s="42">
        <f>37+54+88</f>
        <v>179</v>
      </c>
      <c r="P17" s="42">
        <f>37+54+88</f>
        <v>179</v>
      </c>
      <c r="Q17" s="41">
        <f t="shared" si="4"/>
        <v>100</v>
      </c>
    </row>
    <row r="18" spans="1:20" s="5" customFormat="1" ht="14.25" customHeight="1" x14ac:dyDescent="0.2">
      <c r="A18" s="44" t="s">
        <v>9</v>
      </c>
      <c r="B18" s="46">
        <f>6604+3404</f>
        <v>10008</v>
      </c>
      <c r="C18" s="45">
        <f>5928+2928</f>
        <v>8856</v>
      </c>
      <c r="D18" s="28">
        <f t="shared" si="0"/>
        <v>88.489208633093526</v>
      </c>
      <c r="E18" s="45">
        <f>4906+2974</f>
        <v>7880</v>
      </c>
      <c r="F18" s="45">
        <f>4145+2786</f>
        <v>6931</v>
      </c>
      <c r="G18" s="28">
        <f t="shared" si="1"/>
        <v>87.956852791878177</v>
      </c>
      <c r="H18" s="45">
        <f>2399+1093</f>
        <v>3492</v>
      </c>
      <c r="I18" s="45">
        <f>736+848</f>
        <v>1584</v>
      </c>
      <c r="J18" s="28">
        <f t="shared" si="2"/>
        <v>45.360824742268044</v>
      </c>
      <c r="K18" s="44" t="s">
        <v>9</v>
      </c>
      <c r="L18" s="42">
        <f>659+338</f>
        <v>997</v>
      </c>
      <c r="M18" s="42">
        <f>609+285</f>
        <v>894</v>
      </c>
      <c r="N18" s="43">
        <f t="shared" si="3"/>
        <v>89.66900702106318</v>
      </c>
      <c r="O18" s="42">
        <f>105</f>
        <v>105</v>
      </c>
      <c r="P18" s="42">
        <f>105</f>
        <v>105</v>
      </c>
      <c r="Q18" s="41">
        <f t="shared" si="4"/>
        <v>100</v>
      </c>
    </row>
    <row r="19" spans="1:20" s="5" customFormat="1" ht="24" customHeight="1" x14ac:dyDescent="0.2">
      <c r="A19" s="47" t="s">
        <v>24</v>
      </c>
      <c r="B19" s="46">
        <f>4960+5061</f>
        <v>10021</v>
      </c>
      <c r="C19" s="45">
        <f>4428+4326</f>
        <v>8754</v>
      </c>
      <c r="D19" s="28">
        <f t="shared" si="0"/>
        <v>87.356551242390978</v>
      </c>
      <c r="E19" s="45">
        <f>4120+4148</f>
        <v>8268</v>
      </c>
      <c r="F19" s="45">
        <f>3984+3922</f>
        <v>7906</v>
      </c>
      <c r="G19" s="28">
        <f t="shared" si="1"/>
        <v>95.621673923560706</v>
      </c>
      <c r="H19" s="45">
        <f>1530+1917</f>
        <v>3447</v>
      </c>
      <c r="I19" s="45">
        <f>1482+1790</f>
        <v>3272</v>
      </c>
      <c r="J19" s="28">
        <f t="shared" si="2"/>
        <v>94.923121554975339</v>
      </c>
      <c r="K19" s="47" t="s">
        <v>24</v>
      </c>
      <c r="L19" s="42">
        <f>475+643</f>
        <v>1118</v>
      </c>
      <c r="M19" s="42">
        <f>460+526</f>
        <v>986</v>
      </c>
      <c r="N19" s="43">
        <f t="shared" si="3"/>
        <v>88.193202146690524</v>
      </c>
      <c r="O19" s="42">
        <f>340+163</f>
        <v>503</v>
      </c>
      <c r="P19" s="42">
        <f>340+163</f>
        <v>503</v>
      </c>
      <c r="Q19" s="41">
        <f t="shared" si="4"/>
        <v>100</v>
      </c>
    </row>
    <row r="20" spans="1:20" s="5" customFormat="1" ht="31.9" customHeight="1" x14ac:dyDescent="0.2">
      <c r="A20" s="26" t="s">
        <v>29</v>
      </c>
      <c r="B20" s="40">
        <f>SUM(B15:B19)</f>
        <v>70407</v>
      </c>
      <c r="C20" s="39">
        <f>SUM(C15:C19)</f>
        <v>62950</v>
      </c>
      <c r="D20" s="38">
        <f t="shared" si="0"/>
        <v>89.40872356441831</v>
      </c>
      <c r="E20" s="39">
        <f>SUM(E15:E19)</f>
        <v>51577</v>
      </c>
      <c r="F20" s="39">
        <f>SUM(F15:F19)</f>
        <v>48639</v>
      </c>
      <c r="G20" s="38">
        <f t="shared" si="1"/>
        <v>94.303662485216279</v>
      </c>
      <c r="H20" s="39">
        <f>SUM(H15:H19)</f>
        <v>22584</v>
      </c>
      <c r="I20" s="39">
        <f>SUM(I15:I19)</f>
        <v>18121</v>
      </c>
      <c r="J20" s="38">
        <f t="shared" si="2"/>
        <v>80.238221749911446</v>
      </c>
      <c r="K20" s="26" t="s">
        <v>29</v>
      </c>
      <c r="L20" s="27">
        <f>SUM(L15:L19)</f>
        <v>6960</v>
      </c>
      <c r="M20" s="27">
        <f>SUM(M15:M19)</f>
        <v>5963</v>
      </c>
      <c r="N20" s="36">
        <f t="shared" si="3"/>
        <v>85.675287356321832</v>
      </c>
      <c r="O20" s="27">
        <f>SUM(O15:O19)</f>
        <v>1805</v>
      </c>
      <c r="P20" s="27">
        <f>SUM(P15:P19)</f>
        <v>1805</v>
      </c>
      <c r="Q20" s="31">
        <f t="shared" si="4"/>
        <v>100</v>
      </c>
    </row>
    <row r="21" spans="1:20" s="5" customFormat="1" ht="19.5" customHeight="1" x14ac:dyDescent="0.2">
      <c r="A21" s="44" t="s">
        <v>10</v>
      </c>
      <c r="B21" s="46">
        <v>21627</v>
      </c>
      <c r="C21" s="45">
        <v>18335</v>
      </c>
      <c r="D21" s="28">
        <f t="shared" si="0"/>
        <v>84.778286401257688</v>
      </c>
      <c r="E21" s="45">
        <v>14484</v>
      </c>
      <c r="F21" s="45">
        <v>13366</v>
      </c>
      <c r="G21" s="28">
        <f t="shared" si="1"/>
        <v>92.281137807235567</v>
      </c>
      <c r="H21" s="45">
        <v>5170</v>
      </c>
      <c r="I21" s="45">
        <v>4400</v>
      </c>
      <c r="J21" s="28">
        <f t="shared" si="2"/>
        <v>85.106382978723403</v>
      </c>
      <c r="K21" s="44" t="s">
        <v>10</v>
      </c>
      <c r="L21" s="42">
        <v>2629</v>
      </c>
      <c r="M21" s="42">
        <v>2072</v>
      </c>
      <c r="N21" s="43">
        <f t="shared" si="3"/>
        <v>78.813236972232787</v>
      </c>
      <c r="O21" s="42">
        <v>1157</v>
      </c>
      <c r="P21" s="42">
        <v>1157</v>
      </c>
      <c r="Q21" s="41">
        <f t="shared" si="4"/>
        <v>100</v>
      </c>
    </row>
    <row r="22" spans="1:20" s="5" customFormat="1" ht="19.5" customHeight="1" x14ac:dyDescent="0.2">
      <c r="A22" s="44" t="s">
        <v>25</v>
      </c>
      <c r="B22" s="46">
        <f>5135+5289</f>
        <v>10424</v>
      </c>
      <c r="C22" s="45">
        <f>4493+3785</f>
        <v>8278</v>
      </c>
      <c r="D22" s="28">
        <f t="shared" si="0"/>
        <v>79.412893323100548</v>
      </c>
      <c r="E22" s="45">
        <f>4163+4248</f>
        <v>8411</v>
      </c>
      <c r="F22" s="45">
        <f>4012+2829</f>
        <v>6841</v>
      </c>
      <c r="G22" s="28">
        <f t="shared" si="1"/>
        <v>81.333967423611938</v>
      </c>
      <c r="H22" s="45">
        <f>1930+2069</f>
        <v>3999</v>
      </c>
      <c r="I22" s="45">
        <f>1577+843</f>
        <v>2420</v>
      </c>
      <c r="J22" s="28">
        <f t="shared" si="2"/>
        <v>60.515128782195546</v>
      </c>
      <c r="K22" s="44" t="s">
        <v>25</v>
      </c>
      <c r="L22" s="42">
        <f>374+235</f>
        <v>609</v>
      </c>
      <c r="M22" s="42">
        <f>351+137</f>
        <v>488</v>
      </c>
      <c r="N22" s="43">
        <f t="shared" si="3"/>
        <v>80.131362889983578</v>
      </c>
      <c r="O22" s="42">
        <f>27+103</f>
        <v>130</v>
      </c>
      <c r="P22" s="42">
        <f>27+103</f>
        <v>130</v>
      </c>
      <c r="Q22" s="41">
        <f t="shared" si="4"/>
        <v>100</v>
      </c>
    </row>
    <row r="23" spans="1:20" s="5" customFormat="1" ht="14.25" customHeight="1" x14ac:dyDescent="0.2">
      <c r="A23" s="44" t="s">
        <v>26</v>
      </c>
      <c r="B23" s="46">
        <f>4352+3083</f>
        <v>7435</v>
      </c>
      <c r="C23" s="45">
        <f>3593+2568</f>
        <v>6161</v>
      </c>
      <c r="D23" s="28">
        <f t="shared" si="0"/>
        <v>82.864828513786151</v>
      </c>
      <c r="E23" s="45">
        <f>3527+2649</f>
        <v>6176</v>
      </c>
      <c r="F23" s="45">
        <f>3287+2562</f>
        <v>5849</v>
      </c>
      <c r="G23" s="28">
        <f t="shared" si="1"/>
        <v>94.705310880829018</v>
      </c>
      <c r="H23" s="45">
        <f>1767+1187</f>
        <v>2954</v>
      </c>
      <c r="I23" s="45">
        <f>1671+1127</f>
        <v>2798</v>
      </c>
      <c r="J23" s="28">
        <f t="shared" si="2"/>
        <v>94.719025050778612</v>
      </c>
      <c r="K23" s="44" t="s">
        <v>26</v>
      </c>
      <c r="L23" s="42">
        <f>294+285</f>
        <v>579</v>
      </c>
      <c r="M23" s="42">
        <f>257+224</f>
        <v>481</v>
      </c>
      <c r="N23" s="43">
        <f t="shared" si="3"/>
        <v>83.074265975820381</v>
      </c>
      <c r="O23" s="42">
        <f>135</f>
        <v>135</v>
      </c>
      <c r="P23" s="42">
        <f>135</f>
        <v>135</v>
      </c>
      <c r="Q23" s="41">
        <f t="shared" si="4"/>
        <v>100</v>
      </c>
    </row>
    <row r="24" spans="1:20" s="5" customFormat="1" ht="31.9" customHeight="1" x14ac:dyDescent="0.2">
      <c r="A24" s="26" t="s">
        <v>30</v>
      </c>
      <c r="B24" s="40">
        <f>SUM(B21:B23)</f>
        <v>39486</v>
      </c>
      <c r="C24" s="39">
        <f>SUM(C21:C23)</f>
        <v>32774</v>
      </c>
      <c r="D24" s="38">
        <f t="shared" si="0"/>
        <v>83.001570176771509</v>
      </c>
      <c r="E24" s="39">
        <f>SUM(E21:E23)</f>
        <v>29071</v>
      </c>
      <c r="F24" s="39">
        <f>SUM(F21:F23)</f>
        <v>26056</v>
      </c>
      <c r="G24" s="38">
        <f t="shared" si="1"/>
        <v>89.628839737195136</v>
      </c>
      <c r="H24" s="39">
        <f>SUM(H21:H23)</f>
        <v>12123</v>
      </c>
      <c r="I24" s="39">
        <f>SUM(I21:I23)</f>
        <v>9618</v>
      </c>
      <c r="J24" s="38">
        <f t="shared" si="2"/>
        <v>79.336797822321202</v>
      </c>
      <c r="K24" s="26" t="s">
        <v>30</v>
      </c>
      <c r="L24" s="27">
        <f>SUM(L21:L23)</f>
        <v>3817</v>
      </c>
      <c r="M24" s="27">
        <f>SUM(M21:M23)</f>
        <v>3041</v>
      </c>
      <c r="N24" s="36">
        <f t="shared" si="3"/>
        <v>79.669897825517424</v>
      </c>
      <c r="O24" s="27">
        <f>SUM(O21:O23)</f>
        <v>1422</v>
      </c>
      <c r="P24" s="27">
        <f>SUM(P21:P23)</f>
        <v>1422</v>
      </c>
      <c r="Q24" s="31">
        <f t="shared" si="4"/>
        <v>100</v>
      </c>
    </row>
    <row r="25" spans="1:20" s="5" customFormat="1" ht="28.5" customHeight="1" x14ac:dyDescent="0.2">
      <c r="A25" s="37" t="s">
        <v>11</v>
      </c>
      <c r="B25" s="40">
        <f>SUM(B24,B20,B14)</f>
        <v>166260</v>
      </c>
      <c r="C25" s="39">
        <f>SUM(C24,C20,C14)</f>
        <v>143848</v>
      </c>
      <c r="D25" s="38">
        <f t="shared" si="0"/>
        <v>86.519908576927705</v>
      </c>
      <c r="E25" s="39">
        <f>SUM(E24,E20,E14)</f>
        <v>124800</v>
      </c>
      <c r="F25" s="39">
        <f>SUM(F24,F20,F14)</f>
        <v>115007</v>
      </c>
      <c r="G25" s="38">
        <f t="shared" si="1"/>
        <v>92.153044871794876</v>
      </c>
      <c r="H25" s="39">
        <f>SUM(H24,H20,H14)</f>
        <v>54566</v>
      </c>
      <c r="I25" s="39">
        <f>SUM(I24,I20,I14)</f>
        <v>44200</v>
      </c>
      <c r="J25" s="38">
        <f t="shared" si="2"/>
        <v>81.002822270278202</v>
      </c>
      <c r="K25" s="37" t="s">
        <v>11</v>
      </c>
      <c r="L25" s="27">
        <f>SUM(L24,L20,L14)</f>
        <v>16884</v>
      </c>
      <c r="M25" s="27">
        <f>SUM(M24,M20,M14)</f>
        <v>14052</v>
      </c>
      <c r="N25" s="36">
        <f t="shared" si="3"/>
        <v>83.22672352523098</v>
      </c>
      <c r="O25" s="27">
        <f>SUM(O24,O20,O14)</f>
        <v>4757</v>
      </c>
      <c r="P25" s="27">
        <f>SUM(P24,P20,P14)</f>
        <v>4757</v>
      </c>
      <c r="Q25" s="31">
        <f t="shared" si="4"/>
        <v>100</v>
      </c>
    </row>
    <row r="26" spans="1:20" ht="12.75" customHeight="1" x14ac:dyDescent="0.2">
      <c r="A26" s="9"/>
      <c r="B26" s="13"/>
      <c r="C26" s="13"/>
      <c r="D26" s="14"/>
      <c r="E26" s="13"/>
      <c r="F26" s="13"/>
      <c r="G26" s="12"/>
      <c r="H26" s="13"/>
      <c r="I26" s="13"/>
      <c r="J26" s="15"/>
      <c r="K26" s="9"/>
      <c r="L26" s="13"/>
      <c r="M26" s="13"/>
      <c r="N26" s="10"/>
      <c r="Q26" s="35"/>
    </row>
    <row r="27" spans="1:20" ht="12.75" customHeight="1" x14ac:dyDescent="0.2">
      <c r="A27" s="33" t="s">
        <v>12</v>
      </c>
      <c r="J27" s="34"/>
      <c r="K27" s="33" t="s">
        <v>12</v>
      </c>
    </row>
    <row r="28" spans="1:20" ht="21.4" customHeight="1" x14ac:dyDescent="0.2">
      <c r="A28" s="154" t="s">
        <v>31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 t="s">
        <v>31</v>
      </c>
      <c r="L28" s="154"/>
      <c r="M28" s="154"/>
      <c r="N28" s="154"/>
      <c r="O28" s="154"/>
      <c r="P28" s="154"/>
      <c r="Q28" s="154"/>
      <c r="R28" s="32"/>
      <c r="S28" s="32"/>
      <c r="T28" s="32"/>
    </row>
    <row r="29" spans="1:20" ht="10.5" customHeight="1" x14ac:dyDescent="0.2">
      <c r="A29" s="5" t="s">
        <v>3</v>
      </c>
      <c r="G29" s="6"/>
      <c r="H29" s="7"/>
      <c r="I29" s="7"/>
      <c r="J29" s="5"/>
      <c r="K29" s="5" t="s">
        <v>3</v>
      </c>
      <c r="L29" s="5"/>
      <c r="M29" s="5"/>
      <c r="N29" s="18"/>
    </row>
    <row r="30" spans="1:20" ht="10.5" customHeight="1" x14ac:dyDescent="0.2">
      <c r="A30" s="5" t="s">
        <v>13</v>
      </c>
      <c r="G30" s="5"/>
      <c r="H30" s="5"/>
      <c r="I30" s="5"/>
      <c r="J30" s="5"/>
      <c r="K30" s="5" t="s">
        <v>13</v>
      </c>
      <c r="L30" s="5"/>
      <c r="M30" s="5"/>
      <c r="N30" s="18"/>
    </row>
    <row r="31" spans="1:20" ht="10.5" customHeight="1" x14ac:dyDescent="0.2">
      <c r="A31" s="5" t="s">
        <v>4</v>
      </c>
      <c r="H31" s="5"/>
      <c r="I31" s="5"/>
      <c r="J31" s="5"/>
      <c r="K31" s="5" t="s">
        <v>4</v>
      </c>
      <c r="L31" s="5"/>
      <c r="M31" s="5"/>
      <c r="N31" s="18"/>
    </row>
    <row r="32" spans="1:20" x14ac:dyDescent="0.2">
      <c r="Q32" t="s">
        <v>27</v>
      </c>
    </row>
  </sheetData>
  <mergeCells count="11">
    <mergeCell ref="A28:J28"/>
    <mergeCell ref="K28:Q28"/>
    <mergeCell ref="O7:Q7"/>
    <mergeCell ref="A6:A8"/>
    <mergeCell ref="L7:N7"/>
    <mergeCell ref="H7:J7"/>
    <mergeCell ref="E7:G7"/>
    <mergeCell ref="B7:D7"/>
    <mergeCell ref="B6:J6"/>
    <mergeCell ref="K6:K8"/>
    <mergeCell ref="L6:Q6"/>
  </mergeCells>
  <pageMargins left="0.78740157480314965" right="0.78740157480314965" top="0.98425196850393704" bottom="0.98425196850393704" header="0.51181102362204722" footer="0.51181102362204722"/>
  <pageSetup paperSize="9" orientation="portrait" useFirstPageNumber="1" horizontalDpi="4294967292" verticalDpi="4294967292" r:id="rId1"/>
  <headerFooter alignWithMargins="0">
    <oddHeader>&amp;C&amp;"Optimum,Fett"&amp;9&amp;P</oddHeader>
    <oddFooter>&amp;C&amp;7© Statistisches Landesamt des Freistaates Sachsen  -  Z III 1 - j/14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32"/>
  <sheetViews>
    <sheetView zoomScaleNormal="100" zoomScaleSheetLayoutView="100" workbookViewId="0"/>
  </sheetViews>
  <sheetFormatPr baseColWidth="10" defaultColWidth="13.85546875" defaultRowHeight="12.75" x14ac:dyDescent="0.2"/>
  <cols>
    <col min="1" max="1" width="17.85546875" style="64" customWidth="1"/>
    <col min="2" max="2" width="8.140625" style="64" customWidth="1"/>
    <col min="3" max="3" width="8.7109375" style="64" customWidth="1"/>
    <col min="4" max="4" width="6.28515625" style="64" customWidth="1"/>
    <col min="5" max="5" width="8.7109375" style="64" customWidth="1"/>
    <col min="6" max="6" width="8.5703125" style="64" customWidth="1"/>
    <col min="7" max="7" width="6" style="64" customWidth="1"/>
    <col min="8" max="9" width="6.28515625" style="64" customWidth="1"/>
    <col min="10" max="10" width="5.85546875" style="64" customWidth="1"/>
    <col min="11" max="11" width="20.85546875" style="64" customWidth="1"/>
    <col min="12" max="13" width="11" style="62" customWidth="1"/>
    <col min="14" max="14" width="11" style="63" customWidth="1"/>
    <col min="15" max="17" width="11" style="62" customWidth="1"/>
    <col min="18" max="16384" width="13.85546875" style="62"/>
  </cols>
  <sheetData>
    <row r="1" spans="1:17" ht="12.4" customHeight="1" x14ac:dyDescent="0.2"/>
    <row r="2" spans="1:17" ht="12.4" customHeight="1" x14ac:dyDescent="0.2"/>
    <row r="3" spans="1:17" ht="12.4" customHeight="1" x14ac:dyDescent="0.2"/>
    <row r="4" spans="1:17" ht="12.4" customHeight="1" x14ac:dyDescent="0.2">
      <c r="A4" s="110"/>
      <c r="B4" s="110"/>
      <c r="C4" s="110"/>
      <c r="D4" s="110"/>
      <c r="E4" s="110"/>
      <c r="F4" s="110"/>
      <c r="K4" s="110"/>
    </row>
    <row r="5" spans="1:17" ht="12.4" customHeight="1" x14ac:dyDescent="0.2">
      <c r="A5" s="109"/>
      <c r="B5" s="109"/>
      <c r="C5" s="109"/>
      <c r="D5" s="109"/>
      <c r="E5" s="109"/>
      <c r="F5" s="109"/>
      <c r="K5" s="109"/>
    </row>
    <row r="6" spans="1:17" s="66" customFormat="1" ht="20.100000000000001" customHeight="1" x14ac:dyDescent="0.2">
      <c r="A6" s="163" t="s">
        <v>32</v>
      </c>
      <c r="B6" s="166" t="s">
        <v>16</v>
      </c>
      <c r="C6" s="167"/>
      <c r="D6" s="167"/>
      <c r="E6" s="167"/>
      <c r="F6" s="167"/>
      <c r="G6" s="167"/>
      <c r="H6" s="167"/>
      <c r="I6" s="167"/>
      <c r="J6" s="167"/>
      <c r="K6" s="163" t="s">
        <v>32</v>
      </c>
      <c r="L6" s="166" t="s">
        <v>16</v>
      </c>
      <c r="M6" s="167"/>
      <c r="N6" s="167"/>
      <c r="O6" s="167"/>
      <c r="P6" s="167"/>
      <c r="Q6" s="167"/>
    </row>
    <row r="7" spans="1:17" s="66" customFormat="1" ht="25.5" customHeight="1" x14ac:dyDescent="0.2">
      <c r="A7" s="164"/>
      <c r="B7" s="171" t="s">
        <v>0</v>
      </c>
      <c r="C7" s="172"/>
      <c r="D7" s="173"/>
      <c r="E7" s="170" t="s">
        <v>1</v>
      </c>
      <c r="F7" s="169"/>
      <c r="G7" s="165"/>
      <c r="H7" s="170" t="s">
        <v>14</v>
      </c>
      <c r="I7" s="169"/>
      <c r="J7" s="169"/>
      <c r="K7" s="164"/>
      <c r="L7" s="169" t="s">
        <v>15</v>
      </c>
      <c r="M7" s="169"/>
      <c r="N7" s="165"/>
      <c r="O7" s="166" t="s">
        <v>19</v>
      </c>
      <c r="P7" s="167"/>
      <c r="Q7" s="167"/>
    </row>
    <row r="8" spans="1:17" s="66" customFormat="1" ht="31.9" customHeight="1" x14ac:dyDescent="0.2">
      <c r="A8" s="165"/>
      <c r="B8" s="104" t="s">
        <v>18</v>
      </c>
      <c r="C8" s="103" t="s">
        <v>17</v>
      </c>
      <c r="D8" s="108" t="s">
        <v>2</v>
      </c>
      <c r="E8" s="104" t="s">
        <v>18</v>
      </c>
      <c r="F8" s="103" t="s">
        <v>17</v>
      </c>
      <c r="G8" s="107" t="s">
        <v>2</v>
      </c>
      <c r="H8" s="104" t="s">
        <v>18</v>
      </c>
      <c r="I8" s="103" t="s">
        <v>17</v>
      </c>
      <c r="J8" s="106" t="s">
        <v>2</v>
      </c>
      <c r="K8" s="165"/>
      <c r="L8" s="103" t="s">
        <v>18</v>
      </c>
      <c r="M8" s="103" t="s">
        <v>17</v>
      </c>
      <c r="N8" s="105" t="s">
        <v>2</v>
      </c>
      <c r="O8" s="104" t="s">
        <v>18</v>
      </c>
      <c r="P8" s="103" t="s">
        <v>17</v>
      </c>
      <c r="Q8" s="102" t="s">
        <v>2</v>
      </c>
    </row>
    <row r="9" spans="1:17" s="66" customFormat="1" ht="21.4" customHeight="1" x14ac:dyDescent="0.2">
      <c r="A9" s="99" t="s">
        <v>5</v>
      </c>
      <c r="B9" s="101">
        <v>9521</v>
      </c>
      <c r="C9" s="100">
        <v>8131</v>
      </c>
      <c r="D9" s="92">
        <f t="shared" ref="D9:D25" si="0">C9/B9*100</f>
        <v>85.400693204495326</v>
      </c>
      <c r="E9" s="100">
        <v>7212</v>
      </c>
      <c r="F9" s="100">
        <v>6794</v>
      </c>
      <c r="G9" s="92">
        <f t="shared" ref="G9:G25" si="1">F9/E9*100</f>
        <v>94.204104270660011</v>
      </c>
      <c r="H9" s="100">
        <v>2973</v>
      </c>
      <c r="I9" s="100">
        <v>2316</v>
      </c>
      <c r="J9" s="92">
        <f t="shared" ref="J9:J25" si="2">I9/H9*100</f>
        <v>77.901109989909173</v>
      </c>
      <c r="K9" s="99" t="s">
        <v>5</v>
      </c>
      <c r="L9" s="95">
        <v>1291</v>
      </c>
      <c r="M9" s="95">
        <v>1022</v>
      </c>
      <c r="N9" s="89">
        <f t="shared" ref="N9:N25" si="3">M9/L9*100</f>
        <v>79.163439194422921</v>
      </c>
      <c r="O9" s="95">
        <v>705</v>
      </c>
      <c r="P9" s="95">
        <v>705</v>
      </c>
      <c r="Q9" s="87">
        <f t="shared" ref="Q9:Q25" si="4">P9/O9*100</f>
        <v>100</v>
      </c>
    </row>
    <row r="10" spans="1:17" s="66" customFormat="1" ht="19.5" customHeight="1" x14ac:dyDescent="0.2">
      <c r="A10" s="97" t="s">
        <v>20</v>
      </c>
      <c r="B10" s="94">
        <f>3018+2987+3296+4260</f>
        <v>13561</v>
      </c>
      <c r="C10" s="93">
        <f>2770+2527+2803+3692</f>
        <v>11792</v>
      </c>
      <c r="D10" s="92">
        <f t="shared" si="0"/>
        <v>86.955239289137964</v>
      </c>
      <c r="E10" s="93">
        <f>2598+2064+2631+3432</f>
        <v>10725</v>
      </c>
      <c r="F10" s="93">
        <f>2550+1580+2563+3320</f>
        <v>10013</v>
      </c>
      <c r="G10" s="92">
        <f t="shared" si="1"/>
        <v>93.361305361305355</v>
      </c>
      <c r="H10" s="93">
        <f>1266+740+1424+1553</f>
        <v>4983</v>
      </c>
      <c r="I10" s="93">
        <f>1247+1330+651+1244</f>
        <v>4472</v>
      </c>
      <c r="J10" s="92">
        <f t="shared" si="2"/>
        <v>89.745133453742724</v>
      </c>
      <c r="K10" s="97" t="s">
        <v>20</v>
      </c>
      <c r="L10" s="95">
        <f>61+53+202+534</f>
        <v>850</v>
      </c>
      <c r="M10" s="95">
        <f>489+48+40+48</f>
        <v>625</v>
      </c>
      <c r="N10" s="89">
        <f t="shared" si="3"/>
        <v>73.529411764705884</v>
      </c>
      <c r="O10" s="95">
        <f>54+132+191+148</f>
        <v>525</v>
      </c>
      <c r="P10" s="95">
        <v>525</v>
      </c>
      <c r="Q10" s="87">
        <f t="shared" si="4"/>
        <v>100</v>
      </c>
    </row>
    <row r="11" spans="1:17" s="66" customFormat="1" ht="14.25" customHeight="1" x14ac:dyDescent="0.2">
      <c r="A11" s="97" t="s">
        <v>21</v>
      </c>
      <c r="B11" s="94">
        <f>4699+5757+2608</f>
        <v>13064</v>
      </c>
      <c r="C11" s="93">
        <f>3725+5218+2001</f>
        <v>10944</v>
      </c>
      <c r="D11" s="92">
        <f t="shared" si="0"/>
        <v>83.772198407838346</v>
      </c>
      <c r="E11" s="93">
        <f>3518+4041+1907</f>
        <v>9466</v>
      </c>
      <c r="F11" s="93">
        <f>1831+3882+3299</f>
        <v>9012</v>
      </c>
      <c r="G11" s="92">
        <f t="shared" si="1"/>
        <v>95.20388759771815</v>
      </c>
      <c r="H11" s="93">
        <f>1679+1124+866</f>
        <v>3669</v>
      </c>
      <c r="I11" s="93">
        <f>832+1071+1391</f>
        <v>3294</v>
      </c>
      <c r="J11" s="92">
        <f t="shared" si="2"/>
        <v>89.779231398201148</v>
      </c>
      <c r="K11" s="97" t="s">
        <v>21</v>
      </c>
      <c r="L11" s="95">
        <f>348+693+337</f>
        <v>1378</v>
      </c>
      <c r="M11" s="95">
        <f>317+557+307</f>
        <v>1181</v>
      </c>
      <c r="N11" s="89">
        <f t="shared" si="3"/>
        <v>85.703918722786639</v>
      </c>
      <c r="O11" s="95">
        <f>89+244+28</f>
        <v>361</v>
      </c>
      <c r="P11" s="95">
        <v>361</v>
      </c>
      <c r="Q11" s="87">
        <f t="shared" si="4"/>
        <v>100</v>
      </c>
    </row>
    <row r="12" spans="1:17" s="66" customFormat="1" ht="14.25" customHeight="1" x14ac:dyDescent="0.2">
      <c r="A12" s="97" t="s">
        <v>6</v>
      </c>
      <c r="B12" s="94">
        <v>8640</v>
      </c>
      <c r="C12" s="93">
        <v>7906</v>
      </c>
      <c r="D12" s="92">
        <f t="shared" si="0"/>
        <v>91.504629629629633</v>
      </c>
      <c r="E12" s="93">
        <v>7022</v>
      </c>
      <c r="F12" s="93">
        <v>6692</v>
      </c>
      <c r="G12" s="92">
        <f t="shared" si="1"/>
        <v>95.300484192537738</v>
      </c>
      <c r="H12" s="93">
        <v>3207</v>
      </c>
      <c r="I12" s="93">
        <v>3092</v>
      </c>
      <c r="J12" s="92">
        <f t="shared" si="2"/>
        <v>96.41409416900531</v>
      </c>
      <c r="K12" s="97" t="s">
        <v>6</v>
      </c>
      <c r="L12" s="95">
        <v>844</v>
      </c>
      <c r="M12" s="95">
        <v>752</v>
      </c>
      <c r="N12" s="89">
        <f t="shared" si="3"/>
        <v>89.099526066350705</v>
      </c>
      <c r="O12" s="95">
        <v>61</v>
      </c>
      <c r="P12" s="95">
        <v>61</v>
      </c>
      <c r="Q12" s="87">
        <f t="shared" si="4"/>
        <v>100</v>
      </c>
    </row>
    <row r="13" spans="1:17" s="66" customFormat="1" ht="14.25" customHeight="1" x14ac:dyDescent="0.2">
      <c r="A13" s="97" t="s">
        <v>22</v>
      </c>
      <c r="B13" s="94">
        <f>4420+7680</f>
        <v>12100</v>
      </c>
      <c r="C13" s="93">
        <f>4078+6755</f>
        <v>10833</v>
      </c>
      <c r="D13" s="92">
        <f t="shared" si="0"/>
        <v>89.528925619834709</v>
      </c>
      <c r="E13" s="93">
        <f>3703+6087</f>
        <v>9790</v>
      </c>
      <c r="F13" s="93">
        <f>3619+5843</f>
        <v>9462</v>
      </c>
      <c r="G13" s="92">
        <f t="shared" si="1"/>
        <v>96.649642492339112</v>
      </c>
      <c r="H13" s="93">
        <f>2169+2848</f>
        <v>5017</v>
      </c>
      <c r="I13" s="93">
        <f>1902+2709</f>
        <v>4611</v>
      </c>
      <c r="J13" s="92">
        <f t="shared" si="2"/>
        <v>91.907514450867055</v>
      </c>
      <c r="K13" s="97" t="s">
        <v>22</v>
      </c>
      <c r="L13" s="95">
        <f>321+1074</f>
        <v>1395</v>
      </c>
      <c r="M13" s="95">
        <f>285+970</f>
        <v>1255</v>
      </c>
      <c r="N13" s="89">
        <f t="shared" si="3"/>
        <v>89.964157706093189</v>
      </c>
      <c r="O13" s="95">
        <f>200+109</f>
        <v>309</v>
      </c>
      <c r="P13" s="95">
        <v>309</v>
      </c>
      <c r="Q13" s="87">
        <f t="shared" si="4"/>
        <v>100</v>
      </c>
    </row>
    <row r="14" spans="1:17" s="66" customFormat="1" ht="31.9" customHeight="1" x14ac:dyDescent="0.2">
      <c r="A14" s="98" t="s">
        <v>28</v>
      </c>
      <c r="B14" s="85">
        <f>B9+B10+B11+B12+B13</f>
        <v>56886</v>
      </c>
      <c r="C14" s="84">
        <f>C9+C10+C11+C12+C13</f>
        <v>49606</v>
      </c>
      <c r="D14" s="83">
        <f t="shared" si="0"/>
        <v>87.202475125689972</v>
      </c>
      <c r="E14" s="84">
        <f>E9+E10+E11+E12+E13</f>
        <v>44215</v>
      </c>
      <c r="F14" s="84">
        <f>F9+F10+F11+F12+F13</f>
        <v>41973</v>
      </c>
      <c r="G14" s="83">
        <f t="shared" si="1"/>
        <v>94.929322628067396</v>
      </c>
      <c r="H14" s="84">
        <f>H9+H10+H11+H12+H13</f>
        <v>19849</v>
      </c>
      <c r="I14" s="84">
        <f>I9+I10+I11+I12+I13</f>
        <v>17785</v>
      </c>
      <c r="J14" s="83">
        <f t="shared" si="2"/>
        <v>89.601491259005499</v>
      </c>
      <c r="K14" s="98" t="s">
        <v>28</v>
      </c>
      <c r="L14" s="81">
        <f>L9+L10+L11+L12+L13</f>
        <v>5758</v>
      </c>
      <c r="M14" s="79">
        <f>M9+M10+M11+M12+M13</f>
        <v>4835</v>
      </c>
      <c r="N14" s="80">
        <f t="shared" si="3"/>
        <v>83.970128516846131</v>
      </c>
      <c r="O14" s="79">
        <f>O9+O10+O11+O12+O13</f>
        <v>1961</v>
      </c>
      <c r="P14" s="79">
        <v>1961</v>
      </c>
      <c r="Q14" s="78">
        <f t="shared" si="4"/>
        <v>100</v>
      </c>
    </row>
    <row r="15" spans="1:17" s="66" customFormat="1" ht="19.5" customHeight="1" x14ac:dyDescent="0.2">
      <c r="A15" s="97" t="s">
        <v>7</v>
      </c>
      <c r="B15" s="94">
        <v>28168</v>
      </c>
      <c r="C15" s="93">
        <v>24869</v>
      </c>
      <c r="D15" s="92">
        <f t="shared" si="0"/>
        <v>88.288128372621415</v>
      </c>
      <c r="E15" s="93">
        <v>17939</v>
      </c>
      <c r="F15" s="93">
        <v>17431</v>
      </c>
      <c r="G15" s="92">
        <f t="shared" si="1"/>
        <v>97.168181058029987</v>
      </c>
      <c r="H15" s="93">
        <v>8225</v>
      </c>
      <c r="I15" s="93">
        <v>8050</v>
      </c>
      <c r="J15" s="92">
        <f t="shared" si="2"/>
        <v>97.872340425531917</v>
      </c>
      <c r="K15" s="97" t="s">
        <v>7</v>
      </c>
      <c r="L15" s="95">
        <v>2306</v>
      </c>
      <c r="M15" s="95">
        <v>1959</v>
      </c>
      <c r="N15" s="89">
        <f t="shared" si="3"/>
        <v>84.952298352124885</v>
      </c>
      <c r="O15" s="95">
        <v>582</v>
      </c>
      <c r="P15" s="95">
        <v>582</v>
      </c>
      <c r="Q15" s="87">
        <f t="shared" si="4"/>
        <v>100</v>
      </c>
    </row>
    <row r="16" spans="1:17" s="66" customFormat="1" ht="19.5" customHeight="1" x14ac:dyDescent="0.2">
      <c r="A16" s="97" t="s">
        <v>8</v>
      </c>
      <c r="B16" s="94">
        <f>6265+1227+5646</f>
        <v>13138</v>
      </c>
      <c r="C16" s="93">
        <f>4566+1022+5867</f>
        <v>11455</v>
      </c>
      <c r="D16" s="92">
        <f t="shared" si="0"/>
        <v>87.189831024509061</v>
      </c>
      <c r="E16" s="93">
        <f>4746+897+4434</f>
        <v>10077</v>
      </c>
      <c r="F16" s="93">
        <f>4212+889+4664</f>
        <v>9765</v>
      </c>
      <c r="G16" s="92">
        <f t="shared" si="1"/>
        <v>96.903840428699013</v>
      </c>
      <c r="H16" s="93">
        <f>1850+798+2009</f>
        <v>4657</v>
      </c>
      <c r="I16" s="93">
        <f>1677+793+1802</f>
        <v>4272</v>
      </c>
      <c r="J16" s="92">
        <f t="shared" si="2"/>
        <v>91.732875241571833</v>
      </c>
      <c r="K16" s="97" t="s">
        <v>8</v>
      </c>
      <c r="L16" s="95">
        <f>510+242+501</f>
        <v>1253</v>
      </c>
      <c r="M16" s="95">
        <f>454+230+430</f>
        <v>1114</v>
      </c>
      <c r="N16" s="89">
        <f t="shared" si="3"/>
        <v>88.906624102154836</v>
      </c>
      <c r="O16" s="95">
        <f>211+25+230</f>
        <v>466</v>
      </c>
      <c r="P16" s="95">
        <v>466</v>
      </c>
      <c r="Q16" s="87">
        <f t="shared" si="4"/>
        <v>100</v>
      </c>
    </row>
    <row r="17" spans="1:18" s="66" customFormat="1" ht="14.25" customHeight="1" x14ac:dyDescent="0.2">
      <c r="A17" s="97" t="s">
        <v>23</v>
      </c>
      <c r="B17" s="94">
        <f>2159+3092+4669</f>
        <v>9920</v>
      </c>
      <c r="C17" s="93">
        <f>1780+2626+4229</f>
        <v>8635</v>
      </c>
      <c r="D17" s="92">
        <f t="shared" si="0"/>
        <v>87.046370967741936</v>
      </c>
      <c r="E17" s="93">
        <f>1753+2710+3909</f>
        <v>8372</v>
      </c>
      <c r="F17" s="93">
        <f>3773+2344+1696</f>
        <v>7813</v>
      </c>
      <c r="G17" s="92">
        <f t="shared" si="1"/>
        <v>93.322981366459629</v>
      </c>
      <c r="H17" s="93">
        <f>895+500+1848</f>
        <v>3243</v>
      </c>
      <c r="I17" s="93">
        <f>1753+247+870</f>
        <v>2870</v>
      </c>
      <c r="J17" s="92">
        <f t="shared" si="2"/>
        <v>88.498304039469616</v>
      </c>
      <c r="K17" s="97" t="s">
        <v>23</v>
      </c>
      <c r="L17" s="95">
        <f>387+225+505</f>
        <v>1117</v>
      </c>
      <c r="M17" s="95">
        <f>465+208+324</f>
        <v>997</v>
      </c>
      <c r="N17" s="89">
        <f t="shared" si="3"/>
        <v>89.256938227394812</v>
      </c>
      <c r="O17" s="95">
        <f>37+54+88</f>
        <v>179</v>
      </c>
      <c r="P17" s="95">
        <v>179</v>
      </c>
      <c r="Q17" s="87">
        <f t="shared" si="4"/>
        <v>100</v>
      </c>
    </row>
    <row r="18" spans="1:18" s="66" customFormat="1" ht="14.25" customHeight="1" x14ac:dyDescent="0.2">
      <c r="A18" s="97" t="s">
        <v>9</v>
      </c>
      <c r="B18" s="94">
        <f>6671+3525</f>
        <v>10196</v>
      </c>
      <c r="C18" s="93">
        <f>6413+3038</f>
        <v>9451</v>
      </c>
      <c r="D18" s="92">
        <f t="shared" si="0"/>
        <v>92.693213024715575</v>
      </c>
      <c r="E18" s="93">
        <f>5041+3013</f>
        <v>8054</v>
      </c>
      <c r="F18" s="93">
        <f>4649+2936</f>
        <v>7585</v>
      </c>
      <c r="G18" s="92">
        <f t="shared" si="1"/>
        <v>94.176806555748698</v>
      </c>
      <c r="H18" s="93">
        <f>2445+1105</f>
        <v>3550</v>
      </c>
      <c r="I18" s="93">
        <f>2250+935</f>
        <v>3185</v>
      </c>
      <c r="J18" s="92">
        <f t="shared" si="2"/>
        <v>89.718309859154928</v>
      </c>
      <c r="K18" s="97" t="s">
        <v>9</v>
      </c>
      <c r="L18" s="95">
        <f>559+329</f>
        <v>888</v>
      </c>
      <c r="M18" s="95">
        <f>525+298</f>
        <v>823</v>
      </c>
      <c r="N18" s="89">
        <f t="shared" si="3"/>
        <v>92.680180180180187</v>
      </c>
      <c r="O18" s="95">
        <f>214+0</f>
        <v>214</v>
      </c>
      <c r="P18" s="95">
        <v>214</v>
      </c>
      <c r="Q18" s="87">
        <f t="shared" si="4"/>
        <v>100</v>
      </c>
    </row>
    <row r="19" spans="1:18" s="66" customFormat="1" ht="24" customHeight="1" x14ac:dyDescent="0.2">
      <c r="A19" s="96" t="s">
        <v>24</v>
      </c>
      <c r="B19" s="94">
        <f>4897+5089</f>
        <v>9986</v>
      </c>
      <c r="C19" s="93">
        <f>4317+4152</f>
        <v>8469</v>
      </c>
      <c r="D19" s="92">
        <f t="shared" si="0"/>
        <v>84.808732225115165</v>
      </c>
      <c r="E19" s="93">
        <f>4228+4189</f>
        <v>8417</v>
      </c>
      <c r="F19" s="93">
        <f>3865+4045</f>
        <v>7910</v>
      </c>
      <c r="G19" s="92">
        <f t="shared" si="1"/>
        <v>93.97647617916121</v>
      </c>
      <c r="H19" s="93">
        <f>1329+2010</f>
        <v>3339</v>
      </c>
      <c r="I19" s="93">
        <f>1293+1895</f>
        <v>3188</v>
      </c>
      <c r="J19" s="92">
        <f t="shared" si="2"/>
        <v>95.477687930518115</v>
      </c>
      <c r="K19" s="96" t="s">
        <v>24</v>
      </c>
      <c r="L19" s="95">
        <f>465+667</f>
        <v>1132</v>
      </c>
      <c r="M19" s="95">
        <f>152+622</f>
        <v>774</v>
      </c>
      <c r="N19" s="89">
        <f t="shared" si="3"/>
        <v>68.374558303886928</v>
      </c>
      <c r="O19" s="95">
        <f>345+173</f>
        <v>518</v>
      </c>
      <c r="P19" s="95">
        <v>518</v>
      </c>
      <c r="Q19" s="87">
        <f t="shared" si="4"/>
        <v>100</v>
      </c>
    </row>
    <row r="20" spans="1:18" s="66" customFormat="1" ht="31.9" customHeight="1" x14ac:dyDescent="0.2">
      <c r="A20" s="86" t="s">
        <v>29</v>
      </c>
      <c r="B20" s="85">
        <f>B15+B16+B17+B18+B19</f>
        <v>71408</v>
      </c>
      <c r="C20" s="84">
        <f>C15+C16+C17+C18+C19</f>
        <v>62879</v>
      </c>
      <c r="D20" s="83">
        <f t="shared" si="0"/>
        <v>88.05596011651356</v>
      </c>
      <c r="E20" s="84">
        <f>E15+E16+E17+E18+E19</f>
        <v>52859</v>
      </c>
      <c r="F20" s="84">
        <f>F15+F16+F17+F18+F19</f>
        <v>50504</v>
      </c>
      <c r="G20" s="83">
        <f t="shared" si="1"/>
        <v>95.544751130365697</v>
      </c>
      <c r="H20" s="84">
        <f>H15+H16+H17+H18+H19</f>
        <v>23014</v>
      </c>
      <c r="I20" s="84">
        <f>I15+I16+I17+I18+I19</f>
        <v>21565</v>
      </c>
      <c r="J20" s="83">
        <f t="shared" si="2"/>
        <v>93.703832449813163</v>
      </c>
      <c r="K20" s="86" t="s">
        <v>29</v>
      </c>
      <c r="L20" s="81">
        <f>L15+L16+L17+L18+L19</f>
        <v>6696</v>
      </c>
      <c r="M20" s="79">
        <f>M15+M16+M17+M18+M19</f>
        <v>5667</v>
      </c>
      <c r="N20" s="80">
        <f t="shared" si="3"/>
        <v>84.632616487455195</v>
      </c>
      <c r="O20" s="79">
        <f>O15+O16+O17+O18+O19</f>
        <v>1959</v>
      </c>
      <c r="P20" s="79">
        <f>P15+P16+P17+P18+P19</f>
        <v>1959</v>
      </c>
      <c r="Q20" s="78">
        <f t="shared" si="4"/>
        <v>100</v>
      </c>
    </row>
    <row r="21" spans="1:18" s="66" customFormat="1" ht="19.5" customHeight="1" x14ac:dyDescent="0.2">
      <c r="A21" s="91" t="s">
        <v>10</v>
      </c>
      <c r="B21" s="94">
        <v>23048</v>
      </c>
      <c r="C21" s="93">
        <v>19277</v>
      </c>
      <c r="D21" s="92">
        <f t="shared" si="0"/>
        <v>83.638493578618537</v>
      </c>
      <c r="E21" s="93">
        <v>15528</v>
      </c>
      <c r="F21" s="93">
        <v>14227</v>
      </c>
      <c r="G21" s="92">
        <f t="shared" si="1"/>
        <v>91.62158681092221</v>
      </c>
      <c r="H21" s="93">
        <v>6134</v>
      </c>
      <c r="I21" s="93">
        <v>5133</v>
      </c>
      <c r="J21" s="92">
        <f t="shared" si="2"/>
        <v>83.68112161721551</v>
      </c>
      <c r="K21" s="91" t="s">
        <v>10</v>
      </c>
      <c r="L21" s="90">
        <v>2691</v>
      </c>
      <c r="M21" s="88">
        <v>2236</v>
      </c>
      <c r="N21" s="89">
        <f t="shared" si="3"/>
        <v>83.091787439613526</v>
      </c>
      <c r="O21" s="88">
        <v>1172</v>
      </c>
      <c r="P21" s="88">
        <v>1172</v>
      </c>
      <c r="Q21" s="87">
        <f t="shared" si="4"/>
        <v>100</v>
      </c>
    </row>
    <row r="22" spans="1:18" s="66" customFormat="1" ht="19.5" customHeight="1" x14ac:dyDescent="0.2">
      <c r="A22" s="91" t="s">
        <v>25</v>
      </c>
      <c r="B22" s="94">
        <f>5280+5501</f>
        <v>10781</v>
      </c>
      <c r="C22" s="93">
        <f>4452+4695</f>
        <v>9147</v>
      </c>
      <c r="D22" s="92">
        <f t="shared" si="0"/>
        <v>84.843706520730905</v>
      </c>
      <c r="E22" s="93">
        <f>4340+4631</f>
        <v>8971</v>
      </c>
      <c r="F22" s="93">
        <f>3783+4383</f>
        <v>8166</v>
      </c>
      <c r="G22" s="92">
        <f t="shared" si="1"/>
        <v>91.026641400066879</v>
      </c>
      <c r="H22" s="93">
        <f>1958+1648</f>
        <v>3606</v>
      </c>
      <c r="I22" s="93">
        <f>1857+1010</f>
        <v>2867</v>
      </c>
      <c r="J22" s="92">
        <f t="shared" si="2"/>
        <v>79.506378258458128</v>
      </c>
      <c r="K22" s="91" t="s">
        <v>25</v>
      </c>
      <c r="L22" s="90">
        <f>355+344</f>
        <v>699</v>
      </c>
      <c r="M22" s="88">
        <f>355+0</f>
        <v>355</v>
      </c>
      <c r="N22" s="89">
        <f t="shared" si="3"/>
        <v>50.786838340486405</v>
      </c>
      <c r="O22" s="88">
        <f>27+103</f>
        <v>130</v>
      </c>
      <c r="P22" s="88">
        <v>130</v>
      </c>
      <c r="Q22" s="87">
        <f t="shared" si="4"/>
        <v>100</v>
      </c>
    </row>
    <row r="23" spans="1:18" s="66" customFormat="1" ht="14.25" customHeight="1" x14ac:dyDescent="0.2">
      <c r="A23" s="91" t="s">
        <v>26</v>
      </c>
      <c r="B23" s="94">
        <f>3202+4273</f>
        <v>7475</v>
      </c>
      <c r="C23" s="93">
        <f>2699+3181</f>
        <v>5880</v>
      </c>
      <c r="D23" s="92">
        <f t="shared" si="0"/>
        <v>78.662207357859543</v>
      </c>
      <c r="E23" s="93">
        <f>3535+2680</f>
        <v>6215</v>
      </c>
      <c r="F23" s="93">
        <f>3139+2518</f>
        <v>5657</v>
      </c>
      <c r="G23" s="92">
        <f t="shared" si="1"/>
        <v>91.021721641190666</v>
      </c>
      <c r="H23" s="93">
        <f>1854+1259</f>
        <v>3113</v>
      </c>
      <c r="I23" s="93">
        <f>1775+1171</f>
        <v>2946</v>
      </c>
      <c r="J23" s="92">
        <f t="shared" si="2"/>
        <v>94.635399935753298</v>
      </c>
      <c r="K23" s="91" t="s">
        <v>26</v>
      </c>
      <c r="L23" s="90">
        <f>291+296</f>
        <v>587</v>
      </c>
      <c r="M23" s="88">
        <f>266+208</f>
        <v>474</v>
      </c>
      <c r="N23" s="89">
        <f t="shared" si="3"/>
        <v>80.749574105621804</v>
      </c>
      <c r="O23" s="88">
        <v>158</v>
      </c>
      <c r="P23" s="88">
        <v>158</v>
      </c>
      <c r="Q23" s="87">
        <f t="shared" si="4"/>
        <v>100</v>
      </c>
    </row>
    <row r="24" spans="1:18" s="66" customFormat="1" ht="31.9" customHeight="1" x14ac:dyDescent="0.2">
      <c r="A24" s="86" t="s">
        <v>30</v>
      </c>
      <c r="B24" s="85">
        <f>B21+B22+B23</f>
        <v>41304</v>
      </c>
      <c r="C24" s="84">
        <f>C21+C22+C23</f>
        <v>34304</v>
      </c>
      <c r="D24" s="83">
        <f t="shared" si="0"/>
        <v>83.052488863064113</v>
      </c>
      <c r="E24" s="84">
        <f>E21+E22+E23</f>
        <v>30714</v>
      </c>
      <c r="F24" s="84">
        <f>F21+F22+F23</f>
        <v>28050</v>
      </c>
      <c r="G24" s="83">
        <f t="shared" si="1"/>
        <v>91.326430943543656</v>
      </c>
      <c r="H24" s="84">
        <f>H21+H22+H23</f>
        <v>12853</v>
      </c>
      <c r="I24" s="84">
        <f>I21+I22+I23</f>
        <v>10946</v>
      </c>
      <c r="J24" s="83">
        <f t="shared" si="2"/>
        <v>85.162996965688947</v>
      </c>
      <c r="K24" s="86" t="s">
        <v>30</v>
      </c>
      <c r="L24" s="81">
        <f>L21+L22+L23</f>
        <v>3977</v>
      </c>
      <c r="M24" s="79">
        <f>M21+M22+M23</f>
        <v>3065</v>
      </c>
      <c r="N24" s="80">
        <f t="shared" si="3"/>
        <v>77.068141815438779</v>
      </c>
      <c r="O24" s="79">
        <f>O21+O22+O23</f>
        <v>1460</v>
      </c>
      <c r="P24" s="79">
        <f>P21+P22+P23</f>
        <v>1460</v>
      </c>
      <c r="Q24" s="78">
        <f t="shared" si="4"/>
        <v>100</v>
      </c>
    </row>
    <row r="25" spans="1:18" s="66" customFormat="1" ht="28.5" customHeight="1" x14ac:dyDescent="0.2">
      <c r="A25" s="82" t="s">
        <v>11</v>
      </c>
      <c r="B25" s="85">
        <f>SUM(B14,B20,B24)</f>
        <v>169598</v>
      </c>
      <c r="C25" s="84">
        <f>SUM(C14,C20,C24)</f>
        <v>146789</v>
      </c>
      <c r="D25" s="83">
        <f t="shared" si="0"/>
        <v>86.551138574747341</v>
      </c>
      <c r="E25" s="84">
        <f>SUM(E14,E20,E24)</f>
        <v>127788</v>
      </c>
      <c r="F25" s="84">
        <f>SUM(F14,F20,F24)</f>
        <v>120527</v>
      </c>
      <c r="G25" s="83">
        <f t="shared" si="1"/>
        <v>94.317932826243464</v>
      </c>
      <c r="H25" s="84">
        <f>SUM(H14,H20,H24)</f>
        <v>55716</v>
      </c>
      <c r="I25" s="84">
        <f>SUM(I14,I20,I24)</f>
        <v>50296</v>
      </c>
      <c r="J25" s="83">
        <f t="shared" si="2"/>
        <v>90.272094191973579</v>
      </c>
      <c r="K25" s="82" t="s">
        <v>11</v>
      </c>
      <c r="L25" s="81">
        <f>SUM(L14,L20,L24)</f>
        <v>16431</v>
      </c>
      <c r="M25" s="79">
        <f>SUM(M14,M20,M24)</f>
        <v>13567</v>
      </c>
      <c r="N25" s="80">
        <f t="shared" si="3"/>
        <v>82.569533199440087</v>
      </c>
      <c r="O25" s="79">
        <f>SUM(O14,O20,O24)</f>
        <v>5380</v>
      </c>
      <c r="P25" s="79">
        <f>SUM(P14,P20,P24)</f>
        <v>5380</v>
      </c>
      <c r="Q25" s="78">
        <f t="shared" si="4"/>
        <v>100</v>
      </c>
    </row>
    <row r="26" spans="1:18" ht="12.75" customHeight="1" x14ac:dyDescent="0.2">
      <c r="A26" s="74"/>
      <c r="B26" s="73"/>
      <c r="C26" s="73"/>
      <c r="D26" s="77"/>
      <c r="E26" s="73"/>
      <c r="F26" s="73"/>
      <c r="G26" s="76"/>
      <c r="H26" s="73"/>
      <c r="I26" s="73"/>
      <c r="J26" s="75"/>
      <c r="K26" s="74"/>
      <c r="L26" s="73"/>
      <c r="M26" s="73"/>
      <c r="N26" s="72"/>
      <c r="Q26" s="71"/>
    </row>
    <row r="27" spans="1:18" ht="12.75" customHeight="1" x14ac:dyDescent="0.2">
      <c r="A27" s="64" t="s">
        <v>12</v>
      </c>
      <c r="J27" s="70"/>
      <c r="K27" s="64" t="s">
        <v>12</v>
      </c>
    </row>
    <row r="28" spans="1:18" ht="21.4" customHeight="1" x14ac:dyDescent="0.2">
      <c r="A28" s="168" t="s">
        <v>31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 t="s">
        <v>31</v>
      </c>
      <c r="L28" s="168"/>
      <c r="M28" s="168"/>
      <c r="N28" s="168"/>
      <c r="O28" s="168"/>
      <c r="P28" s="168"/>
      <c r="Q28" s="168"/>
      <c r="R28" s="69"/>
    </row>
    <row r="29" spans="1:18" ht="10.5" customHeight="1" x14ac:dyDescent="0.2">
      <c r="A29" s="66" t="s">
        <v>3</v>
      </c>
      <c r="G29" s="68"/>
      <c r="H29" s="67"/>
      <c r="I29" s="67"/>
      <c r="J29" s="66"/>
      <c r="K29" s="66" t="s">
        <v>3</v>
      </c>
      <c r="L29" s="66"/>
      <c r="M29" s="66"/>
      <c r="N29" s="65"/>
    </row>
    <row r="30" spans="1:18" ht="10.5" customHeight="1" x14ac:dyDescent="0.2">
      <c r="A30" s="66" t="s">
        <v>13</v>
      </c>
      <c r="G30" s="66"/>
      <c r="H30" s="66"/>
      <c r="I30" s="66"/>
      <c r="J30" s="66"/>
      <c r="K30" s="66" t="s">
        <v>13</v>
      </c>
      <c r="L30" s="66"/>
      <c r="M30" s="66"/>
      <c r="N30" s="65"/>
    </row>
    <row r="31" spans="1:18" ht="10.5" customHeight="1" x14ac:dyDescent="0.2">
      <c r="A31" s="66" t="s">
        <v>4</v>
      </c>
      <c r="H31" s="66"/>
      <c r="I31" s="66"/>
      <c r="J31" s="66"/>
      <c r="K31" s="66" t="s">
        <v>4</v>
      </c>
      <c r="L31" s="66"/>
      <c r="M31" s="66"/>
      <c r="N31" s="65"/>
    </row>
    <row r="32" spans="1:18" x14ac:dyDescent="0.2">
      <c r="Q32" s="62" t="s">
        <v>27</v>
      </c>
    </row>
  </sheetData>
  <mergeCells count="11">
    <mergeCell ref="K6:K8"/>
    <mergeCell ref="L6:Q6"/>
    <mergeCell ref="A28:J28"/>
    <mergeCell ref="K28:Q28"/>
    <mergeCell ref="O7:Q7"/>
    <mergeCell ref="A6:A8"/>
    <mergeCell ref="L7:N7"/>
    <mergeCell ref="H7:J7"/>
    <mergeCell ref="E7:G7"/>
    <mergeCell ref="B7:D7"/>
    <mergeCell ref="B6:J6"/>
  </mergeCells>
  <pageMargins left="0.78740157480314965" right="0.78740157480314965" top="0.98425196850393704" bottom="0.98425196850393704" header="0.51181102362204722" footer="0.51181102362204722"/>
  <pageSetup paperSize="9" orientation="portrait" useFirstPageNumber="1" horizontalDpi="4294967292" verticalDpi="4294967292" r:id="rId1"/>
  <headerFooter alignWithMargins="0">
    <oddHeader>&amp;C&amp;"Optimum,Fett"&amp;9&amp;P</oddHeader>
    <oddFooter>&amp;C&amp;7© Statistisches Landesamt des Freistaates Sachsen  -  Z III 1 - j/15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32"/>
  <sheetViews>
    <sheetView zoomScaleNormal="100" zoomScaleSheetLayoutView="100" workbookViewId="0"/>
  </sheetViews>
  <sheetFormatPr baseColWidth="10" defaultColWidth="13.85546875" defaultRowHeight="12.75" x14ac:dyDescent="0.2"/>
  <cols>
    <col min="1" max="1" width="17.85546875" style="1" customWidth="1"/>
    <col min="2" max="2" width="8.140625" style="1" customWidth="1"/>
    <col min="3" max="3" width="8.7109375" style="1" customWidth="1"/>
    <col min="4" max="4" width="6.28515625" style="1" customWidth="1"/>
    <col min="5" max="5" width="8.7109375" style="1" customWidth="1"/>
    <col min="6" max="6" width="8.5703125" style="1" customWidth="1"/>
    <col min="7" max="7" width="6" style="1" customWidth="1"/>
    <col min="8" max="9" width="6.28515625" style="1" customWidth="1"/>
    <col min="10" max="10" width="5.85546875" style="1" customWidth="1"/>
    <col min="11" max="11" width="20.85546875" style="1" customWidth="1"/>
    <col min="12" max="13" width="11" customWidth="1"/>
    <col min="14" max="14" width="11" style="17" customWidth="1"/>
    <col min="15" max="17" width="11" customWidth="1"/>
  </cols>
  <sheetData>
    <row r="1" spans="1:17" ht="12.4" customHeight="1" x14ac:dyDescent="0.2"/>
    <row r="2" spans="1:17" ht="12.4" customHeight="1" x14ac:dyDescent="0.2"/>
    <row r="3" spans="1:17" ht="12.4" customHeight="1" x14ac:dyDescent="0.2"/>
    <row r="4" spans="1:17" ht="12.4" customHeight="1" x14ac:dyDescent="0.2">
      <c r="A4" s="2"/>
      <c r="B4" s="2"/>
      <c r="C4" s="2"/>
      <c r="D4" s="2"/>
      <c r="E4" s="2"/>
      <c r="F4" s="2"/>
      <c r="K4" s="2"/>
    </row>
    <row r="5" spans="1:17" ht="12.4" customHeight="1" x14ac:dyDescent="0.2">
      <c r="A5" s="3"/>
      <c r="B5" s="3"/>
      <c r="C5" s="3"/>
      <c r="D5" s="3"/>
      <c r="E5" s="3"/>
      <c r="F5" s="3"/>
      <c r="K5" s="3"/>
    </row>
    <row r="6" spans="1:17" s="4" customFormat="1" ht="20.100000000000001" customHeight="1" x14ac:dyDescent="0.2">
      <c r="A6" s="177" t="s">
        <v>32</v>
      </c>
      <c r="B6" s="175" t="s">
        <v>16</v>
      </c>
      <c r="C6" s="176"/>
      <c r="D6" s="176"/>
      <c r="E6" s="176"/>
      <c r="F6" s="176"/>
      <c r="G6" s="176"/>
      <c r="H6" s="176"/>
      <c r="I6" s="176"/>
      <c r="J6" s="176"/>
      <c r="K6" s="177" t="s">
        <v>32</v>
      </c>
      <c r="L6" s="175" t="s">
        <v>16</v>
      </c>
      <c r="M6" s="176"/>
      <c r="N6" s="176"/>
      <c r="O6" s="176"/>
      <c r="P6" s="176"/>
      <c r="Q6" s="176"/>
    </row>
    <row r="7" spans="1:17" s="4" customFormat="1" ht="25.5" customHeight="1" x14ac:dyDescent="0.2">
      <c r="A7" s="178"/>
      <c r="B7" s="182" t="s">
        <v>0</v>
      </c>
      <c r="C7" s="183"/>
      <c r="D7" s="184"/>
      <c r="E7" s="181" t="s">
        <v>1</v>
      </c>
      <c r="F7" s="180"/>
      <c r="G7" s="179"/>
      <c r="H7" s="181" t="s">
        <v>14</v>
      </c>
      <c r="I7" s="180"/>
      <c r="J7" s="180"/>
      <c r="K7" s="178"/>
      <c r="L7" s="180" t="s">
        <v>15</v>
      </c>
      <c r="M7" s="180"/>
      <c r="N7" s="179"/>
      <c r="O7" s="175" t="s">
        <v>19</v>
      </c>
      <c r="P7" s="176"/>
      <c r="Q7" s="176"/>
    </row>
    <row r="8" spans="1:17" s="4" customFormat="1" ht="31.9" customHeight="1" x14ac:dyDescent="0.2">
      <c r="A8" s="179"/>
      <c r="B8" s="19" t="s">
        <v>18</v>
      </c>
      <c r="C8" s="8" t="s">
        <v>17</v>
      </c>
      <c r="D8" s="29" t="s">
        <v>2</v>
      </c>
      <c r="E8" s="19" t="s">
        <v>18</v>
      </c>
      <c r="F8" s="8" t="s">
        <v>17</v>
      </c>
      <c r="G8" s="16" t="s">
        <v>2</v>
      </c>
      <c r="H8" s="19" t="s">
        <v>18</v>
      </c>
      <c r="I8" s="8" t="s">
        <v>17</v>
      </c>
      <c r="J8" s="20" t="s">
        <v>2</v>
      </c>
      <c r="K8" s="179"/>
      <c r="L8" s="8" t="s">
        <v>18</v>
      </c>
      <c r="M8" s="8" t="s">
        <v>17</v>
      </c>
      <c r="N8" s="21" t="s">
        <v>2</v>
      </c>
      <c r="O8" s="19" t="s">
        <v>18</v>
      </c>
      <c r="P8" s="8" t="s">
        <v>17</v>
      </c>
      <c r="Q8" s="30" t="s">
        <v>2</v>
      </c>
    </row>
    <row r="9" spans="1:17" s="4" customFormat="1" ht="21.4" customHeight="1" x14ac:dyDescent="0.2">
      <c r="A9" s="99" t="s">
        <v>5</v>
      </c>
      <c r="B9" s="22">
        <v>9812</v>
      </c>
      <c r="C9" s="23">
        <v>8047</v>
      </c>
      <c r="D9" s="28">
        <f t="shared" ref="D9:D25" si="0">C9/B9*100</f>
        <v>82.011822258459034</v>
      </c>
      <c r="E9" s="23">
        <v>7381</v>
      </c>
      <c r="F9" s="23">
        <v>6806</v>
      </c>
      <c r="G9" s="28">
        <f t="shared" ref="G9:G25" si="1">F9/E9*100</f>
        <v>92.209727679176268</v>
      </c>
      <c r="H9" s="23">
        <v>2914</v>
      </c>
      <c r="I9" s="23">
        <v>2606</v>
      </c>
      <c r="J9" s="28">
        <f t="shared" ref="J9:J25" si="2">I9/H9*100</f>
        <v>89.430336307481127</v>
      </c>
      <c r="K9" s="99" t="s">
        <v>5</v>
      </c>
      <c r="L9" s="124">
        <v>1317</v>
      </c>
      <c r="M9" s="124">
        <v>1190</v>
      </c>
      <c r="N9" s="122">
        <f t="shared" ref="N9:N25" si="3">M9/L9*100</f>
        <v>90.35687167805618</v>
      </c>
      <c r="O9" s="124">
        <v>705</v>
      </c>
      <c r="P9" s="124">
        <v>705</v>
      </c>
      <c r="Q9" s="120">
        <f t="shared" ref="Q9:Q22" si="4">P9/O9*100</f>
        <v>100</v>
      </c>
    </row>
    <row r="10" spans="1:17" s="4" customFormat="1" ht="19.5" customHeight="1" x14ac:dyDescent="0.2">
      <c r="A10" s="97" t="s">
        <v>20</v>
      </c>
      <c r="B10" s="24">
        <f>3045+2950+3326+4343</f>
        <v>13664</v>
      </c>
      <c r="C10" s="25">
        <f>2833+2300+2800+3511</f>
        <v>11444</v>
      </c>
      <c r="D10" s="28">
        <f t="shared" si="0"/>
        <v>83.75292740046838</v>
      </c>
      <c r="E10" s="25">
        <f>2682+1960+2597+3514</f>
        <v>10753</v>
      </c>
      <c r="F10" s="25">
        <f>2434+1567+2407+3205</f>
        <v>9613</v>
      </c>
      <c r="G10" s="28">
        <f t="shared" si="1"/>
        <v>89.398307449083987</v>
      </c>
      <c r="H10" s="25">
        <f>1264+699+1429+1594</f>
        <v>4986</v>
      </c>
      <c r="I10" s="25">
        <v>4809</v>
      </c>
      <c r="J10" s="28">
        <f t="shared" si="2"/>
        <v>96.450060168471722</v>
      </c>
      <c r="K10" s="97" t="s">
        <v>20</v>
      </c>
      <c r="L10" s="124">
        <f>111+257+201+538</f>
        <v>1107</v>
      </c>
      <c r="M10" s="124">
        <f>102+226+173+336</f>
        <v>837</v>
      </c>
      <c r="N10" s="122">
        <f t="shared" si="3"/>
        <v>75.609756097560975</v>
      </c>
      <c r="O10" s="124">
        <v>525</v>
      </c>
      <c r="P10" s="124">
        <v>525</v>
      </c>
      <c r="Q10" s="120">
        <f t="shared" si="4"/>
        <v>100</v>
      </c>
    </row>
    <row r="11" spans="1:17" s="4" customFormat="1" ht="14.25" customHeight="1" x14ac:dyDescent="0.2">
      <c r="A11" s="97" t="s">
        <v>21</v>
      </c>
      <c r="B11" s="24">
        <f>4616+5808+2602</f>
        <v>13026</v>
      </c>
      <c r="C11" s="25">
        <f>1923+4514+3679</f>
        <v>10116</v>
      </c>
      <c r="D11" s="28">
        <f t="shared" si="0"/>
        <v>77.660064486411798</v>
      </c>
      <c r="E11" s="25">
        <f>1742+4240+3550</f>
        <v>9532</v>
      </c>
      <c r="F11" s="25">
        <f>1655+3813+3358</f>
        <v>8826</v>
      </c>
      <c r="G11" s="28">
        <f t="shared" si="1"/>
        <v>92.593369702056222</v>
      </c>
      <c r="H11" s="25">
        <f>696+1119+1788</f>
        <v>3603</v>
      </c>
      <c r="I11" s="25">
        <f>418+1074+1349</f>
        <v>2841</v>
      </c>
      <c r="J11" s="28">
        <f t="shared" si="2"/>
        <v>78.850957535387181</v>
      </c>
      <c r="K11" s="97" t="s">
        <v>21</v>
      </c>
      <c r="L11" s="124">
        <f>347+712+348</f>
        <v>1407</v>
      </c>
      <c r="M11" s="124">
        <f>321+633+304</f>
        <v>1258</v>
      </c>
      <c r="N11" s="122">
        <f t="shared" si="3"/>
        <v>89.410092395167013</v>
      </c>
      <c r="O11" s="124">
        <v>366</v>
      </c>
      <c r="P11" s="124">
        <v>366</v>
      </c>
      <c r="Q11" s="120">
        <f t="shared" si="4"/>
        <v>100</v>
      </c>
    </row>
    <row r="12" spans="1:17" s="4" customFormat="1" ht="14.25" customHeight="1" x14ac:dyDescent="0.2">
      <c r="A12" s="97" t="s">
        <v>6</v>
      </c>
      <c r="B12" s="24">
        <v>8700</v>
      </c>
      <c r="C12" s="25">
        <v>7962</v>
      </c>
      <c r="D12" s="28">
        <f t="shared" si="0"/>
        <v>91.517241379310349</v>
      </c>
      <c r="E12" s="25">
        <v>7158</v>
      </c>
      <c r="F12" s="25">
        <v>6785</v>
      </c>
      <c r="G12" s="28">
        <f t="shared" si="1"/>
        <v>94.789047219893831</v>
      </c>
      <c r="H12" s="25">
        <v>3210</v>
      </c>
      <c r="I12" s="25">
        <v>2875</v>
      </c>
      <c r="J12" s="28">
        <f t="shared" si="2"/>
        <v>89.563862928348911</v>
      </c>
      <c r="K12" s="97" t="s">
        <v>6</v>
      </c>
      <c r="L12" s="124">
        <v>824</v>
      </c>
      <c r="M12" s="124">
        <v>785</v>
      </c>
      <c r="N12" s="122">
        <f t="shared" si="3"/>
        <v>95.266990291262132</v>
      </c>
      <c r="O12" s="124">
        <v>61</v>
      </c>
      <c r="P12" s="124">
        <v>61</v>
      </c>
      <c r="Q12" s="120">
        <f t="shared" si="4"/>
        <v>100</v>
      </c>
    </row>
    <row r="13" spans="1:17" s="4" customFormat="1" ht="14.25" customHeight="1" x14ac:dyDescent="0.2">
      <c r="A13" s="97" t="s">
        <v>22</v>
      </c>
      <c r="B13" s="24">
        <f>4680+8180</f>
        <v>12860</v>
      </c>
      <c r="C13" s="25">
        <f>4243+6770</f>
        <v>11013</v>
      </c>
      <c r="D13" s="28">
        <f t="shared" si="0"/>
        <v>85.637636080870919</v>
      </c>
      <c r="E13" s="25">
        <f>3784+6110</f>
        <v>9894</v>
      </c>
      <c r="F13" s="25">
        <f>3678+5815</f>
        <v>9493</v>
      </c>
      <c r="G13" s="28">
        <f t="shared" si="1"/>
        <v>95.947038609258144</v>
      </c>
      <c r="H13" s="25">
        <f>2085+2836</f>
        <v>4921</v>
      </c>
      <c r="I13" s="25">
        <f>1955+2703</f>
        <v>4658</v>
      </c>
      <c r="J13" s="28">
        <f t="shared" si="2"/>
        <v>94.655557813452546</v>
      </c>
      <c r="K13" s="97" t="s">
        <v>22</v>
      </c>
      <c r="L13" s="124">
        <f>328+1041</f>
        <v>1369</v>
      </c>
      <c r="M13" s="124">
        <f>296+963</f>
        <v>1259</v>
      </c>
      <c r="N13" s="122">
        <f t="shared" si="3"/>
        <v>91.964937910883862</v>
      </c>
      <c r="O13" s="124">
        <v>309</v>
      </c>
      <c r="P13" s="124">
        <v>309</v>
      </c>
      <c r="Q13" s="120">
        <f t="shared" si="4"/>
        <v>100</v>
      </c>
    </row>
    <row r="14" spans="1:17" s="4" customFormat="1" ht="31.9" customHeight="1" x14ac:dyDescent="0.2">
      <c r="A14" s="26" t="s">
        <v>28</v>
      </c>
      <c r="B14" s="40">
        <f>B9+B10+B11+B12+B13</f>
        <v>58062</v>
      </c>
      <c r="C14" s="39">
        <f>C9+C10+C11+C12+C13</f>
        <v>48582</v>
      </c>
      <c r="D14" s="38">
        <f t="shared" si="0"/>
        <v>83.67262581378526</v>
      </c>
      <c r="E14" s="39">
        <f>E9+E10+E11+E12+E13</f>
        <v>44718</v>
      </c>
      <c r="F14" s="39">
        <f>F9+F10+F11+F12+F13</f>
        <v>41523</v>
      </c>
      <c r="G14" s="38">
        <f t="shared" si="1"/>
        <v>92.855226083456316</v>
      </c>
      <c r="H14" s="39">
        <f>H9+H10+H11+H12+H13</f>
        <v>19634</v>
      </c>
      <c r="I14" s="39">
        <f>I9+I10+I11+I12+I13</f>
        <v>17789</v>
      </c>
      <c r="J14" s="38">
        <f t="shared" si="2"/>
        <v>90.603035550575527</v>
      </c>
      <c r="K14" s="26" t="s">
        <v>28</v>
      </c>
      <c r="L14" s="118">
        <f>L9+L10+L11+L12+L13</f>
        <v>6024</v>
      </c>
      <c r="M14" s="116">
        <f>M9+M10+M11+M12+M13</f>
        <v>5329</v>
      </c>
      <c r="N14" s="117">
        <f t="shared" si="3"/>
        <v>88.462815405046484</v>
      </c>
      <c r="O14" s="116">
        <f>O9+O10+O11+O12+O13</f>
        <v>1966</v>
      </c>
      <c r="P14" s="116">
        <f>P9+P10+P11+P12+P13</f>
        <v>1966</v>
      </c>
      <c r="Q14" s="115">
        <f t="shared" si="4"/>
        <v>100</v>
      </c>
    </row>
    <row r="15" spans="1:17" s="4" customFormat="1" ht="19.5" customHeight="1" x14ac:dyDescent="0.2">
      <c r="A15" s="97" t="s">
        <v>7</v>
      </c>
      <c r="B15" s="24">
        <v>28978</v>
      </c>
      <c r="C15" s="25">
        <v>25674</v>
      </c>
      <c r="D15" s="28">
        <f t="shared" si="0"/>
        <v>88.598246945959005</v>
      </c>
      <c r="E15" s="25">
        <v>18917</v>
      </c>
      <c r="F15" s="25">
        <v>18318</v>
      </c>
      <c r="G15" s="28">
        <f t="shared" si="1"/>
        <v>96.833535972934399</v>
      </c>
      <c r="H15" s="25">
        <v>8409</v>
      </c>
      <c r="I15" s="25">
        <v>7964</v>
      </c>
      <c r="J15" s="28">
        <f t="shared" si="2"/>
        <v>94.708050897847542</v>
      </c>
      <c r="K15" s="97" t="s">
        <v>7</v>
      </c>
      <c r="L15" s="124">
        <v>2138</v>
      </c>
      <c r="M15" s="124">
        <v>1875</v>
      </c>
      <c r="N15" s="122">
        <f t="shared" si="3"/>
        <v>87.69878391019644</v>
      </c>
      <c r="O15" s="124">
        <v>592</v>
      </c>
      <c r="P15" s="124">
        <v>592</v>
      </c>
      <c r="Q15" s="120">
        <f t="shared" si="4"/>
        <v>100</v>
      </c>
    </row>
    <row r="16" spans="1:17" s="4" customFormat="1" ht="19.5" customHeight="1" x14ac:dyDescent="0.2">
      <c r="A16" s="97" t="s">
        <v>8</v>
      </c>
      <c r="B16" s="24">
        <f>6289+1306+5518</f>
        <v>13113</v>
      </c>
      <c r="C16" s="25">
        <f>5683+1162+4825</f>
        <v>11670</v>
      </c>
      <c r="D16" s="28">
        <f t="shared" si="0"/>
        <v>88.995653168611298</v>
      </c>
      <c r="E16" s="25">
        <f>4892+949+4353</f>
        <v>10194</v>
      </c>
      <c r="F16" s="25">
        <f>4648+920+3485</f>
        <v>9053</v>
      </c>
      <c r="G16" s="28">
        <f t="shared" si="1"/>
        <v>88.807141455758284</v>
      </c>
      <c r="H16" s="25">
        <f>1929+763+2080</f>
        <v>4772</v>
      </c>
      <c r="I16" s="25">
        <f>1743+551+1585</f>
        <v>3879</v>
      </c>
      <c r="J16" s="28">
        <f t="shared" si="2"/>
        <v>81.286672254819777</v>
      </c>
      <c r="K16" s="97" t="s">
        <v>8</v>
      </c>
      <c r="L16" s="124">
        <f>500+251+470</f>
        <v>1221</v>
      </c>
      <c r="M16" s="124">
        <f>455+251+232</f>
        <v>938</v>
      </c>
      <c r="N16" s="122">
        <f t="shared" si="3"/>
        <v>76.82227682227682</v>
      </c>
      <c r="O16" s="124">
        <v>519</v>
      </c>
      <c r="P16" s="124">
        <v>519</v>
      </c>
      <c r="Q16" s="120">
        <f t="shared" si="4"/>
        <v>100</v>
      </c>
    </row>
    <row r="17" spans="1:20" s="4" customFormat="1" ht="14.25" customHeight="1" x14ac:dyDescent="0.2">
      <c r="A17" s="97" t="s">
        <v>23</v>
      </c>
      <c r="B17" s="24">
        <f>2135+3025+4744</f>
        <v>9904</v>
      </c>
      <c r="C17" s="25">
        <f>4189+2680+1915</f>
        <v>8784</v>
      </c>
      <c r="D17" s="28">
        <f t="shared" si="0"/>
        <v>88.691437802907913</v>
      </c>
      <c r="E17" s="25">
        <f>1808+2759+4004</f>
        <v>8571</v>
      </c>
      <c r="F17" s="25">
        <f>1276+3654+1527</f>
        <v>6457</v>
      </c>
      <c r="G17" s="28">
        <f t="shared" si="1"/>
        <v>75.335433438338583</v>
      </c>
      <c r="H17" s="25">
        <f>920+509+1823</f>
        <v>3252</v>
      </c>
      <c r="I17" s="25">
        <f>1598+0+0</f>
        <v>1598</v>
      </c>
      <c r="J17" s="28">
        <f t="shared" si="2"/>
        <v>49.138991389913897</v>
      </c>
      <c r="K17" s="97" t="s">
        <v>23</v>
      </c>
      <c r="L17" s="124">
        <f>355+292+484</f>
        <v>1131</v>
      </c>
      <c r="M17" s="124">
        <f>463+107+259</f>
        <v>829</v>
      </c>
      <c r="N17" s="122">
        <f t="shared" si="3"/>
        <v>73.297966401414683</v>
      </c>
      <c r="O17" s="124">
        <v>179</v>
      </c>
      <c r="P17" s="124">
        <v>179</v>
      </c>
      <c r="Q17" s="120">
        <f t="shared" si="4"/>
        <v>100</v>
      </c>
    </row>
    <row r="18" spans="1:20" s="4" customFormat="1" ht="14.25" customHeight="1" x14ac:dyDescent="0.2">
      <c r="A18" s="97" t="s">
        <v>9</v>
      </c>
      <c r="B18" s="24">
        <f>6681+3491</f>
        <v>10172</v>
      </c>
      <c r="C18" s="25">
        <f>5857+2673</f>
        <v>8530</v>
      </c>
      <c r="D18" s="28">
        <f t="shared" si="0"/>
        <v>83.857648446716482</v>
      </c>
      <c r="E18" s="25">
        <f>3056+5144</f>
        <v>8200</v>
      </c>
      <c r="F18" s="25">
        <f>4405+2538</f>
        <v>6943</v>
      </c>
      <c r="G18" s="28">
        <f t="shared" si="1"/>
        <v>84.670731707317074</v>
      </c>
      <c r="H18" s="25">
        <f>1082+2443</f>
        <v>3525</v>
      </c>
      <c r="I18" s="25">
        <f>1612+907</f>
        <v>2519</v>
      </c>
      <c r="J18" s="28">
        <f t="shared" si="2"/>
        <v>71.460992907801426</v>
      </c>
      <c r="K18" s="97" t="s">
        <v>9</v>
      </c>
      <c r="L18" s="124">
        <f>531+350</f>
        <v>881</v>
      </c>
      <c r="M18" s="124">
        <f>507+256</f>
        <v>763</v>
      </c>
      <c r="N18" s="122">
        <f t="shared" si="3"/>
        <v>86.606129398410886</v>
      </c>
      <c r="O18" s="124">
        <v>246</v>
      </c>
      <c r="P18" s="124">
        <v>246</v>
      </c>
      <c r="Q18" s="120">
        <f t="shared" si="4"/>
        <v>100</v>
      </c>
    </row>
    <row r="19" spans="1:20" s="4" customFormat="1" ht="24" customHeight="1" x14ac:dyDescent="0.2">
      <c r="A19" s="96" t="s">
        <v>24</v>
      </c>
      <c r="B19" s="24">
        <f>5060+5221</f>
        <v>10281</v>
      </c>
      <c r="C19" s="25">
        <f>4356+4443</f>
        <v>8799</v>
      </c>
      <c r="D19" s="28">
        <f t="shared" si="0"/>
        <v>85.585059819083739</v>
      </c>
      <c r="E19" s="25">
        <f>4333+4399</f>
        <v>8732</v>
      </c>
      <c r="F19" s="25">
        <f>4027+4148</f>
        <v>8175</v>
      </c>
      <c r="G19" s="28">
        <f t="shared" si="1"/>
        <v>93.621163536417768</v>
      </c>
      <c r="H19" s="25">
        <f>1577+1857</f>
        <v>3434</v>
      </c>
      <c r="I19" s="25">
        <f>1773+1414</f>
        <v>3187</v>
      </c>
      <c r="J19" s="28">
        <f t="shared" si="2"/>
        <v>92.807221898660458</v>
      </c>
      <c r="K19" s="96" t="s">
        <v>24</v>
      </c>
      <c r="L19" s="124">
        <f>675+479</f>
        <v>1154</v>
      </c>
      <c r="M19" s="124">
        <f>408+586</f>
        <v>994</v>
      </c>
      <c r="N19" s="122">
        <f t="shared" si="3"/>
        <v>86.135181975736558</v>
      </c>
      <c r="O19" s="124">
        <v>608</v>
      </c>
      <c r="P19" s="124">
        <v>608</v>
      </c>
      <c r="Q19" s="120">
        <f t="shared" si="4"/>
        <v>100</v>
      </c>
    </row>
    <row r="20" spans="1:20" s="4" customFormat="1" ht="31.9" customHeight="1" x14ac:dyDescent="0.2">
      <c r="A20" s="119" t="s">
        <v>29</v>
      </c>
      <c r="B20" s="40">
        <f>B15+B16+B17+B18+B19</f>
        <v>72448</v>
      </c>
      <c r="C20" s="39">
        <f>C15+C16+C17+C18+C19</f>
        <v>63457</v>
      </c>
      <c r="D20" s="38">
        <f t="shared" si="0"/>
        <v>87.589719522968196</v>
      </c>
      <c r="E20" s="39">
        <f>E15+E16+E17+E18+E19</f>
        <v>54614</v>
      </c>
      <c r="F20" s="39">
        <f>F15+F16+F17+F18+F19</f>
        <v>48946</v>
      </c>
      <c r="G20" s="38">
        <f t="shared" si="1"/>
        <v>89.621708719375988</v>
      </c>
      <c r="H20" s="39">
        <f>H15+H16+H17+H18+H19</f>
        <v>23392</v>
      </c>
      <c r="I20" s="39">
        <f>I15+I16+I17+I18+I19</f>
        <v>19147</v>
      </c>
      <c r="J20" s="38">
        <f t="shared" si="2"/>
        <v>81.852770177838579</v>
      </c>
      <c r="K20" s="119" t="s">
        <v>29</v>
      </c>
      <c r="L20" s="118">
        <f>L15+L16+L17+L18+L19</f>
        <v>6525</v>
      </c>
      <c r="M20" s="116">
        <f>M15+M16+M17+M18+M19</f>
        <v>5399</v>
      </c>
      <c r="N20" s="117">
        <f t="shared" si="3"/>
        <v>82.743295019157088</v>
      </c>
      <c r="O20" s="116">
        <f>O15+O16+O17+O18+O19</f>
        <v>2144</v>
      </c>
      <c r="P20" s="116">
        <f>P15+P16+P17+P18+P19</f>
        <v>2144</v>
      </c>
      <c r="Q20" s="115">
        <f t="shared" si="4"/>
        <v>100</v>
      </c>
    </row>
    <row r="21" spans="1:20" s="4" customFormat="1" ht="19.5" customHeight="1" x14ac:dyDescent="0.2">
      <c r="A21" s="91" t="s">
        <v>10</v>
      </c>
      <c r="B21" s="24">
        <v>24203</v>
      </c>
      <c r="C21" s="25">
        <v>20632</v>
      </c>
      <c r="D21" s="28">
        <f t="shared" si="0"/>
        <v>85.245630706937163</v>
      </c>
      <c r="E21" s="25">
        <v>15526</v>
      </c>
      <c r="F21" s="25">
        <v>13418</v>
      </c>
      <c r="G21" s="28">
        <f t="shared" si="1"/>
        <v>86.422774700502387</v>
      </c>
      <c r="H21" s="25">
        <v>5445</v>
      </c>
      <c r="I21" s="25">
        <v>4942</v>
      </c>
      <c r="J21" s="28">
        <f t="shared" si="2"/>
        <v>90.762167125803501</v>
      </c>
      <c r="K21" s="91" t="s">
        <v>10</v>
      </c>
      <c r="L21" s="123">
        <v>2232</v>
      </c>
      <c r="M21" s="121">
        <v>1942</v>
      </c>
      <c r="N21" s="122">
        <f t="shared" si="3"/>
        <v>87.007168458781365</v>
      </c>
      <c r="O21" s="121">
        <v>1284</v>
      </c>
      <c r="P21" s="121">
        <v>1284</v>
      </c>
      <c r="Q21" s="120">
        <f t="shared" si="4"/>
        <v>100</v>
      </c>
    </row>
    <row r="22" spans="1:20" s="4" customFormat="1" ht="19.5" customHeight="1" x14ac:dyDescent="0.2">
      <c r="A22" s="91" t="s">
        <v>25</v>
      </c>
      <c r="B22" s="24">
        <f>5433+5553</f>
        <v>10986</v>
      </c>
      <c r="C22" s="25">
        <f>4568+4618</f>
        <v>9186</v>
      </c>
      <c r="D22" s="28">
        <f t="shared" si="0"/>
        <v>83.615510649918079</v>
      </c>
      <c r="E22" s="25">
        <f>4347+4904</f>
        <v>9251</v>
      </c>
      <c r="F22" s="25">
        <f>4220+3362</f>
        <v>7582</v>
      </c>
      <c r="G22" s="28">
        <f t="shared" si="1"/>
        <v>81.958707166792777</v>
      </c>
      <c r="H22" s="25">
        <f>2016+2037</f>
        <v>4053</v>
      </c>
      <c r="I22" s="25">
        <f>1899+1162</f>
        <v>3061</v>
      </c>
      <c r="J22" s="28">
        <f t="shared" si="2"/>
        <v>75.524302985442887</v>
      </c>
      <c r="K22" s="91" t="s">
        <v>25</v>
      </c>
      <c r="L22" s="123">
        <f>354+316</f>
        <v>670</v>
      </c>
      <c r="M22" s="121">
        <f>341+273</f>
        <v>614</v>
      </c>
      <c r="N22" s="122">
        <f t="shared" si="3"/>
        <v>91.641791044776127</v>
      </c>
      <c r="O22" s="121">
        <f>130</f>
        <v>130</v>
      </c>
      <c r="P22" s="121">
        <v>130</v>
      </c>
      <c r="Q22" s="120">
        <f t="shared" si="4"/>
        <v>100</v>
      </c>
    </row>
    <row r="23" spans="1:20" s="4" customFormat="1" ht="14.25" customHeight="1" x14ac:dyDescent="0.2">
      <c r="A23" s="91" t="s">
        <v>26</v>
      </c>
      <c r="B23" s="24">
        <f>4527+3149</f>
        <v>7676</v>
      </c>
      <c r="C23" s="25">
        <f>2643+3421</f>
        <v>6064</v>
      </c>
      <c r="D23" s="28">
        <f t="shared" si="0"/>
        <v>78.999478895257951</v>
      </c>
      <c r="E23" s="25">
        <f>3778+2819</f>
        <v>6597</v>
      </c>
      <c r="F23" s="25">
        <f>3007+2184</f>
        <v>5191</v>
      </c>
      <c r="G23" s="28">
        <f t="shared" si="1"/>
        <v>78.687282097923301</v>
      </c>
      <c r="H23" s="25">
        <f>1587+1218</f>
        <v>2805</v>
      </c>
      <c r="I23" s="25">
        <f>1323+1157</f>
        <v>2480</v>
      </c>
      <c r="J23" s="28">
        <f t="shared" si="2"/>
        <v>88.413547237076656</v>
      </c>
      <c r="K23" s="91" t="s">
        <v>26</v>
      </c>
      <c r="L23" s="123">
        <f>244+304</f>
        <v>548</v>
      </c>
      <c r="M23" s="121">
        <f>225+241</f>
        <v>466</v>
      </c>
      <c r="N23" s="122">
        <f t="shared" si="3"/>
        <v>85.03649635036497</v>
      </c>
      <c r="O23" s="121">
        <v>163</v>
      </c>
      <c r="P23" s="121">
        <v>163</v>
      </c>
      <c r="Q23" s="120">
        <v>163</v>
      </c>
    </row>
    <row r="24" spans="1:20" s="4" customFormat="1" ht="31.9" customHeight="1" x14ac:dyDescent="0.2">
      <c r="A24" s="119" t="s">
        <v>30</v>
      </c>
      <c r="B24" s="40">
        <f>B21+B22+B23</f>
        <v>42865</v>
      </c>
      <c r="C24" s="39">
        <f>C21+C22+C23</f>
        <v>35882</v>
      </c>
      <c r="D24" s="38">
        <f t="shared" si="0"/>
        <v>83.709319958007697</v>
      </c>
      <c r="E24" s="39">
        <f>E21+E22+E23</f>
        <v>31374</v>
      </c>
      <c r="F24" s="39">
        <f>F21+F22+F23</f>
        <v>26191</v>
      </c>
      <c r="G24" s="38">
        <f t="shared" si="1"/>
        <v>83.479951552240706</v>
      </c>
      <c r="H24" s="39">
        <f>H21+H22+H23</f>
        <v>12303</v>
      </c>
      <c r="I24" s="39">
        <f>I21+I22+I23</f>
        <v>10483</v>
      </c>
      <c r="J24" s="38">
        <f t="shared" si="2"/>
        <v>85.206860115419005</v>
      </c>
      <c r="K24" s="119" t="s">
        <v>30</v>
      </c>
      <c r="L24" s="118">
        <f>L21+L22+L23</f>
        <v>3450</v>
      </c>
      <c r="M24" s="116">
        <f>M21+M22+M23</f>
        <v>3022</v>
      </c>
      <c r="N24" s="117">
        <f t="shared" si="3"/>
        <v>87.594202898550719</v>
      </c>
      <c r="O24" s="116">
        <f>O21+O22+O23</f>
        <v>1577</v>
      </c>
      <c r="P24" s="116">
        <f>P21+P22+P23</f>
        <v>1577</v>
      </c>
      <c r="Q24" s="115">
        <f>P24/O24*100</f>
        <v>100</v>
      </c>
    </row>
    <row r="25" spans="1:20" s="4" customFormat="1" ht="28.5" customHeight="1" x14ac:dyDescent="0.2">
      <c r="A25" s="82" t="s">
        <v>11</v>
      </c>
      <c r="B25" s="40">
        <f>SUM(B14,B20,B24)</f>
        <v>173375</v>
      </c>
      <c r="C25" s="39">
        <f>SUM(C14,C20,C24)</f>
        <v>147921</v>
      </c>
      <c r="D25" s="38">
        <f t="shared" si="0"/>
        <v>85.318529199711605</v>
      </c>
      <c r="E25" s="39">
        <f>SUM(E14,E20,E24)</f>
        <v>130706</v>
      </c>
      <c r="F25" s="39">
        <f>SUM(F14,F20,F24)</f>
        <v>116660</v>
      </c>
      <c r="G25" s="38">
        <f t="shared" si="1"/>
        <v>89.253745046134071</v>
      </c>
      <c r="H25" s="39">
        <f>SUM(H14,H20,H24)</f>
        <v>55329</v>
      </c>
      <c r="I25" s="39">
        <f>SUM(I14,I20,I24)</f>
        <v>47419</v>
      </c>
      <c r="J25" s="38">
        <f t="shared" si="2"/>
        <v>85.703699687324914</v>
      </c>
      <c r="K25" s="82" t="s">
        <v>11</v>
      </c>
      <c r="L25" s="118">
        <f>SUM(L14,L20,L24)</f>
        <v>15999</v>
      </c>
      <c r="M25" s="116">
        <f>SUM(M14,M20,M24)</f>
        <v>13750</v>
      </c>
      <c r="N25" s="117">
        <f t="shared" si="3"/>
        <v>85.942871429464347</v>
      </c>
      <c r="O25" s="116">
        <f>SUM(O14,O20,O24)</f>
        <v>5687</v>
      </c>
      <c r="P25" s="116">
        <f>SUM(P14,P20,P24)</f>
        <v>5687</v>
      </c>
      <c r="Q25" s="115">
        <f>P25/O25*100</f>
        <v>100</v>
      </c>
    </row>
    <row r="26" spans="1:20" ht="12.75" customHeight="1" x14ac:dyDescent="0.2">
      <c r="A26" s="9"/>
      <c r="B26" s="13"/>
      <c r="C26" s="13"/>
      <c r="D26" s="14"/>
      <c r="E26" s="13"/>
      <c r="F26" s="13"/>
      <c r="G26" s="12"/>
      <c r="H26" s="13"/>
      <c r="I26" s="13"/>
      <c r="J26" s="15"/>
      <c r="K26" s="9"/>
      <c r="L26" s="13"/>
      <c r="M26" s="13"/>
      <c r="N26" s="10"/>
      <c r="Q26" s="35"/>
    </row>
    <row r="27" spans="1:20" ht="12.75" customHeight="1" x14ac:dyDescent="0.2">
      <c r="A27" s="1" t="s">
        <v>12</v>
      </c>
      <c r="J27" s="11"/>
      <c r="K27" s="1" t="s">
        <v>12</v>
      </c>
    </row>
    <row r="28" spans="1:20" ht="21.4" customHeight="1" x14ac:dyDescent="0.2">
      <c r="A28" s="174" t="s">
        <v>31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 t="s">
        <v>31</v>
      </c>
      <c r="L28" s="174"/>
      <c r="M28" s="174"/>
      <c r="N28" s="174"/>
      <c r="O28" s="174"/>
      <c r="P28" s="174"/>
      <c r="Q28" s="174"/>
      <c r="R28" s="114"/>
      <c r="S28" s="114"/>
      <c r="T28" s="114"/>
    </row>
    <row r="29" spans="1:20" ht="10.5" customHeight="1" x14ac:dyDescent="0.2">
      <c r="A29" s="4" t="s">
        <v>3</v>
      </c>
      <c r="G29" s="113"/>
      <c r="H29" s="112"/>
      <c r="I29" s="112"/>
      <c r="J29" s="4"/>
      <c r="K29" s="4" t="s">
        <v>3</v>
      </c>
      <c r="L29" s="4"/>
      <c r="M29" s="4"/>
      <c r="N29" s="111"/>
    </row>
    <row r="30" spans="1:20" ht="10.5" customHeight="1" x14ac:dyDescent="0.2">
      <c r="A30" s="4" t="s">
        <v>13</v>
      </c>
      <c r="G30" s="4"/>
      <c r="H30" s="4"/>
      <c r="I30" s="4"/>
      <c r="J30" s="4"/>
      <c r="K30" s="4" t="s">
        <v>13</v>
      </c>
      <c r="L30" s="4"/>
      <c r="M30" s="4"/>
      <c r="N30" s="111"/>
    </row>
    <row r="31" spans="1:20" ht="10.5" customHeight="1" x14ac:dyDescent="0.2">
      <c r="A31" s="4" t="s">
        <v>4</v>
      </c>
      <c r="H31" s="4"/>
      <c r="I31" s="4"/>
      <c r="J31" s="4"/>
      <c r="K31" s="4" t="s">
        <v>4</v>
      </c>
      <c r="L31" s="4"/>
      <c r="M31" s="4"/>
      <c r="N31" s="111"/>
    </row>
    <row r="32" spans="1:20" x14ac:dyDescent="0.2">
      <c r="Q32" t="s">
        <v>27</v>
      </c>
    </row>
  </sheetData>
  <mergeCells count="11">
    <mergeCell ref="A28:J28"/>
    <mergeCell ref="K28:Q28"/>
    <mergeCell ref="O7:Q7"/>
    <mergeCell ref="A6:A8"/>
    <mergeCell ref="L7:N7"/>
    <mergeCell ref="H7:J7"/>
    <mergeCell ref="E7:G7"/>
    <mergeCell ref="B7:D7"/>
    <mergeCell ref="B6:J6"/>
    <mergeCell ref="K6:K8"/>
    <mergeCell ref="L6:Q6"/>
  </mergeCells>
  <pageMargins left="0.78740157480314965" right="0.78740157480314965" top="0.98425196850393704" bottom="0.98425196850393704" header="0.51181102362204722" footer="0.51181102362204722"/>
  <pageSetup paperSize="9" orientation="portrait" useFirstPageNumber="1" horizontalDpi="4294967292" verticalDpi="4294967292" r:id="rId1"/>
  <headerFooter alignWithMargins="0">
    <oddHeader>&amp;C&amp;"Optimum,Fett"&amp;9&amp;P</oddHeader>
    <oddFooter>&amp;C&amp;7© Statistisches Landesamt des Freistaates Sachsen  -  Z III 1 - j/16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32"/>
  <sheetViews>
    <sheetView zoomScaleNormal="100" zoomScaleSheetLayoutView="100" workbookViewId="0"/>
  </sheetViews>
  <sheetFormatPr baseColWidth="10" defaultColWidth="13.85546875" defaultRowHeight="12.75" x14ac:dyDescent="0.2"/>
  <cols>
    <col min="1" max="1" width="17.85546875" style="1" customWidth="1"/>
    <col min="2" max="2" width="8.140625" style="1" customWidth="1"/>
    <col min="3" max="3" width="8.7109375" style="1" customWidth="1"/>
    <col min="4" max="4" width="6.28515625" style="1" customWidth="1"/>
    <col min="5" max="5" width="8.7109375" style="1" customWidth="1"/>
    <col min="6" max="6" width="8.5703125" style="1" customWidth="1"/>
    <col min="7" max="7" width="6" style="1" customWidth="1"/>
    <col min="8" max="9" width="6.28515625" style="1" customWidth="1"/>
    <col min="10" max="10" width="5.85546875" style="1" customWidth="1"/>
    <col min="11" max="11" width="20.85546875" style="1" customWidth="1"/>
    <col min="12" max="13" width="11" customWidth="1"/>
    <col min="14" max="14" width="11" style="17" customWidth="1"/>
    <col min="15" max="17" width="11" customWidth="1"/>
  </cols>
  <sheetData>
    <row r="1" spans="1:17" ht="12.4" customHeight="1" x14ac:dyDescent="0.2"/>
    <row r="2" spans="1:17" ht="12.4" customHeight="1" x14ac:dyDescent="0.2"/>
    <row r="3" spans="1:17" ht="12.4" customHeight="1" x14ac:dyDescent="0.2"/>
    <row r="4" spans="1:17" ht="12.4" customHeight="1" x14ac:dyDescent="0.2">
      <c r="A4" s="2"/>
      <c r="B4" s="2"/>
      <c r="C4" s="2"/>
      <c r="D4" s="2"/>
      <c r="E4" s="2"/>
      <c r="F4" s="2"/>
      <c r="K4" s="2"/>
    </row>
    <row r="5" spans="1:17" ht="12.4" customHeight="1" x14ac:dyDescent="0.2">
      <c r="A5" s="3"/>
      <c r="B5" s="3"/>
      <c r="C5" s="3"/>
      <c r="D5" s="3"/>
      <c r="E5" s="3"/>
      <c r="F5" s="3"/>
      <c r="K5" s="3"/>
    </row>
    <row r="6" spans="1:17" s="4" customFormat="1" ht="20.100000000000001" customHeight="1" x14ac:dyDescent="0.2">
      <c r="A6" s="177" t="s">
        <v>32</v>
      </c>
      <c r="B6" s="175" t="s">
        <v>16</v>
      </c>
      <c r="C6" s="176"/>
      <c r="D6" s="176"/>
      <c r="E6" s="176"/>
      <c r="F6" s="176"/>
      <c r="G6" s="176"/>
      <c r="H6" s="176"/>
      <c r="I6" s="176"/>
      <c r="J6" s="176"/>
      <c r="K6" s="177" t="s">
        <v>32</v>
      </c>
      <c r="L6" s="175" t="s">
        <v>16</v>
      </c>
      <c r="M6" s="176"/>
      <c r="N6" s="176"/>
      <c r="O6" s="176"/>
      <c r="P6" s="176"/>
      <c r="Q6" s="176"/>
    </row>
    <row r="7" spans="1:17" s="4" customFormat="1" ht="25.5" customHeight="1" x14ac:dyDescent="0.2">
      <c r="A7" s="178"/>
      <c r="B7" s="182" t="s">
        <v>0</v>
      </c>
      <c r="C7" s="183"/>
      <c r="D7" s="184"/>
      <c r="E7" s="181" t="s">
        <v>1</v>
      </c>
      <c r="F7" s="180"/>
      <c r="G7" s="179"/>
      <c r="H7" s="181" t="s">
        <v>14</v>
      </c>
      <c r="I7" s="180"/>
      <c r="J7" s="180"/>
      <c r="K7" s="178"/>
      <c r="L7" s="180" t="s">
        <v>15</v>
      </c>
      <c r="M7" s="180"/>
      <c r="N7" s="179"/>
      <c r="O7" s="175" t="s">
        <v>19</v>
      </c>
      <c r="P7" s="176"/>
      <c r="Q7" s="176"/>
    </row>
    <row r="8" spans="1:17" s="4" customFormat="1" ht="31.9" customHeight="1" x14ac:dyDescent="0.2">
      <c r="A8" s="179"/>
      <c r="B8" s="19" t="s">
        <v>18</v>
      </c>
      <c r="C8" s="8" t="s">
        <v>17</v>
      </c>
      <c r="D8" s="29" t="s">
        <v>2</v>
      </c>
      <c r="E8" s="19" t="s">
        <v>18</v>
      </c>
      <c r="F8" s="8" t="s">
        <v>17</v>
      </c>
      <c r="G8" s="16" t="s">
        <v>2</v>
      </c>
      <c r="H8" s="19" t="s">
        <v>18</v>
      </c>
      <c r="I8" s="8" t="s">
        <v>17</v>
      </c>
      <c r="J8" s="20" t="s">
        <v>2</v>
      </c>
      <c r="K8" s="179"/>
      <c r="L8" s="8" t="s">
        <v>18</v>
      </c>
      <c r="M8" s="8" t="s">
        <v>17</v>
      </c>
      <c r="N8" s="21" t="s">
        <v>2</v>
      </c>
      <c r="O8" s="19" t="s">
        <v>18</v>
      </c>
      <c r="P8" s="8" t="s">
        <v>17</v>
      </c>
      <c r="Q8" s="30" t="s">
        <v>2</v>
      </c>
    </row>
    <row r="9" spans="1:17" s="4" customFormat="1" ht="21.4" customHeight="1" x14ac:dyDescent="0.2">
      <c r="A9" s="99" t="s">
        <v>5</v>
      </c>
      <c r="B9" s="22">
        <v>9658</v>
      </c>
      <c r="C9" s="23">
        <v>8094</v>
      </c>
      <c r="D9" s="28">
        <v>83.806171049906808</v>
      </c>
      <c r="E9" s="23">
        <v>7375</v>
      </c>
      <c r="F9" s="23">
        <v>6468</v>
      </c>
      <c r="G9" s="28">
        <v>87.701694915254237</v>
      </c>
      <c r="H9" s="23">
        <v>2022</v>
      </c>
      <c r="I9" s="23">
        <v>1860</v>
      </c>
      <c r="J9" s="28">
        <v>91.988130563798222</v>
      </c>
      <c r="K9" s="99" t="s">
        <v>5</v>
      </c>
      <c r="L9" s="124">
        <v>951</v>
      </c>
      <c r="M9" s="124">
        <v>857</v>
      </c>
      <c r="N9" s="122">
        <v>90.115667718191375</v>
      </c>
      <c r="O9" s="124">
        <v>735</v>
      </c>
      <c r="P9" s="124">
        <v>735</v>
      </c>
      <c r="Q9" s="120">
        <v>100</v>
      </c>
    </row>
    <row r="10" spans="1:17" s="4" customFormat="1" ht="19.5" customHeight="1" x14ac:dyDescent="0.2">
      <c r="A10" s="97" t="s">
        <v>20</v>
      </c>
      <c r="B10" s="24">
        <v>13348</v>
      </c>
      <c r="C10" s="25">
        <v>11487</v>
      </c>
      <c r="D10" s="28">
        <v>86.057836379982021</v>
      </c>
      <c r="E10" s="25">
        <v>10968</v>
      </c>
      <c r="F10" s="25">
        <v>10516</v>
      </c>
      <c r="G10" s="28">
        <v>95.878920495988325</v>
      </c>
      <c r="H10" s="25">
        <v>4909</v>
      </c>
      <c r="I10" s="25">
        <v>4620</v>
      </c>
      <c r="J10" s="28">
        <v>94.112853941739658</v>
      </c>
      <c r="K10" s="97" t="s">
        <v>20</v>
      </c>
      <c r="L10" s="124">
        <v>1176</v>
      </c>
      <c r="M10" s="124">
        <v>947</v>
      </c>
      <c r="N10" s="122">
        <v>80.527210884353735</v>
      </c>
      <c r="O10" s="124">
        <v>525</v>
      </c>
      <c r="P10" s="124">
        <v>525</v>
      </c>
      <c r="Q10" s="120">
        <v>100</v>
      </c>
    </row>
    <row r="11" spans="1:17" s="4" customFormat="1" ht="14.25" customHeight="1" x14ac:dyDescent="0.2">
      <c r="A11" s="97" t="s">
        <v>21</v>
      </c>
      <c r="B11" s="24">
        <v>13145</v>
      </c>
      <c r="C11" s="25">
        <v>10618</v>
      </c>
      <c r="D11" s="28">
        <v>80.775960441232414</v>
      </c>
      <c r="E11" s="25">
        <v>9747</v>
      </c>
      <c r="F11" s="25">
        <v>8933</v>
      </c>
      <c r="G11" s="28">
        <v>91.648712424335685</v>
      </c>
      <c r="H11" s="25">
        <v>3689</v>
      </c>
      <c r="I11" s="25">
        <v>3518</v>
      </c>
      <c r="J11" s="28">
        <v>95.364597451883981</v>
      </c>
      <c r="K11" s="97" t="s">
        <v>21</v>
      </c>
      <c r="L11" s="124">
        <v>1446</v>
      </c>
      <c r="M11" s="124">
        <v>1297</v>
      </c>
      <c r="N11" s="122">
        <v>89.695712309820195</v>
      </c>
      <c r="O11" s="124">
        <v>498</v>
      </c>
      <c r="P11" s="124">
        <v>498</v>
      </c>
      <c r="Q11" s="120">
        <v>100</v>
      </c>
    </row>
    <row r="12" spans="1:17" s="4" customFormat="1" ht="14.25" customHeight="1" x14ac:dyDescent="0.2">
      <c r="A12" s="97" t="s">
        <v>6</v>
      </c>
      <c r="B12" s="24">
        <v>8525</v>
      </c>
      <c r="C12" s="25">
        <v>7278</v>
      </c>
      <c r="D12" s="28">
        <v>85.37243401759531</v>
      </c>
      <c r="E12" s="25">
        <v>7229</v>
      </c>
      <c r="F12" s="25">
        <v>6457</v>
      </c>
      <c r="G12" s="28">
        <v>89.320791257435332</v>
      </c>
      <c r="H12" s="25">
        <v>3203</v>
      </c>
      <c r="I12" s="25">
        <v>2332</v>
      </c>
      <c r="J12" s="28">
        <v>72.806743677802061</v>
      </c>
      <c r="K12" s="97" t="s">
        <v>6</v>
      </c>
      <c r="L12" s="124">
        <v>842</v>
      </c>
      <c r="M12" s="124">
        <v>523</v>
      </c>
      <c r="N12" s="122">
        <v>62.11401425178147</v>
      </c>
      <c r="O12" s="124">
        <v>61</v>
      </c>
      <c r="P12" s="124">
        <v>61</v>
      </c>
      <c r="Q12" s="120">
        <v>100</v>
      </c>
    </row>
    <row r="13" spans="1:17" s="4" customFormat="1" ht="14.25" customHeight="1" x14ac:dyDescent="0.2">
      <c r="A13" s="97" t="s">
        <v>22</v>
      </c>
      <c r="B13" s="24">
        <v>12400</v>
      </c>
      <c r="C13" s="25">
        <v>10853</v>
      </c>
      <c r="D13" s="28">
        <v>87.524193548387103</v>
      </c>
      <c r="E13" s="25">
        <v>10233</v>
      </c>
      <c r="F13" s="25">
        <v>9829</v>
      </c>
      <c r="G13" s="28">
        <v>96.051988664125858</v>
      </c>
      <c r="H13" s="25">
        <v>4838</v>
      </c>
      <c r="I13" s="25">
        <v>4624</v>
      </c>
      <c r="J13" s="28">
        <v>95.576684580405129</v>
      </c>
      <c r="K13" s="97" t="s">
        <v>22</v>
      </c>
      <c r="L13" s="124">
        <v>1390</v>
      </c>
      <c r="M13" s="124">
        <v>1241</v>
      </c>
      <c r="N13" s="122">
        <v>89.280575539568346</v>
      </c>
      <c r="O13" s="124">
        <v>309</v>
      </c>
      <c r="P13" s="124">
        <v>309</v>
      </c>
      <c r="Q13" s="120">
        <v>100</v>
      </c>
    </row>
    <row r="14" spans="1:17" s="4" customFormat="1" ht="31.9" customHeight="1" x14ac:dyDescent="0.2">
      <c r="A14" s="26" t="s">
        <v>28</v>
      </c>
      <c r="B14" s="40">
        <v>57076</v>
      </c>
      <c r="C14" s="39">
        <v>48330</v>
      </c>
      <c r="D14" s="38">
        <v>84.676571588758847</v>
      </c>
      <c r="E14" s="39">
        <v>45552</v>
      </c>
      <c r="F14" s="39">
        <v>42203</v>
      </c>
      <c r="G14" s="38">
        <v>92.647962767825788</v>
      </c>
      <c r="H14" s="39">
        <v>18661</v>
      </c>
      <c r="I14" s="39">
        <v>16954</v>
      </c>
      <c r="J14" s="38">
        <v>90.852580247575148</v>
      </c>
      <c r="K14" s="26" t="s">
        <v>28</v>
      </c>
      <c r="L14" s="118">
        <v>5805</v>
      </c>
      <c r="M14" s="116">
        <v>4865</v>
      </c>
      <c r="N14" s="117">
        <v>83.807062876830315</v>
      </c>
      <c r="O14" s="116">
        <v>2128</v>
      </c>
      <c r="P14" s="116">
        <v>2128</v>
      </c>
      <c r="Q14" s="115">
        <v>100</v>
      </c>
    </row>
    <row r="15" spans="1:17" s="4" customFormat="1" ht="19.5" customHeight="1" x14ac:dyDescent="0.2">
      <c r="A15" s="97" t="s">
        <v>7</v>
      </c>
      <c r="B15" s="24">
        <v>29151</v>
      </c>
      <c r="C15" s="25">
        <v>25783</v>
      </c>
      <c r="D15" s="28">
        <v>88.446365476312991</v>
      </c>
      <c r="E15" s="25">
        <v>19662</v>
      </c>
      <c r="F15" s="25">
        <v>19099</v>
      </c>
      <c r="G15" s="28">
        <v>97.136608686807037</v>
      </c>
      <c r="H15" s="25">
        <v>8567</v>
      </c>
      <c r="I15" s="25">
        <v>8179</v>
      </c>
      <c r="J15" s="28">
        <v>95.470993346562395</v>
      </c>
      <c r="K15" s="97" t="s">
        <v>7</v>
      </c>
      <c r="L15" s="124">
        <v>2062</v>
      </c>
      <c r="M15" s="124">
        <v>1856</v>
      </c>
      <c r="N15" s="122">
        <v>90.009699321047535</v>
      </c>
      <c r="O15" s="124">
        <v>592</v>
      </c>
      <c r="P15" s="124">
        <v>592</v>
      </c>
      <c r="Q15" s="120">
        <v>100</v>
      </c>
    </row>
    <row r="16" spans="1:17" s="4" customFormat="1" ht="19.5" customHeight="1" x14ac:dyDescent="0.2">
      <c r="A16" s="97" t="s">
        <v>8</v>
      </c>
      <c r="B16" s="24">
        <v>13543</v>
      </c>
      <c r="C16" s="25">
        <v>11932</v>
      </c>
      <c r="D16" s="28">
        <v>88.104555859115408</v>
      </c>
      <c r="E16" s="25">
        <v>9595</v>
      </c>
      <c r="F16" s="25">
        <v>9161</v>
      </c>
      <c r="G16" s="28">
        <v>95.476810838978636</v>
      </c>
      <c r="H16" s="25">
        <v>4801</v>
      </c>
      <c r="I16" s="25">
        <v>4482</v>
      </c>
      <c r="J16" s="28">
        <v>93.355550926890231</v>
      </c>
      <c r="K16" s="97" t="s">
        <v>8</v>
      </c>
      <c r="L16" s="124">
        <v>1239</v>
      </c>
      <c r="M16" s="124">
        <v>1006</v>
      </c>
      <c r="N16" s="122">
        <v>81.19451170298629</v>
      </c>
      <c r="O16" s="124">
        <v>537</v>
      </c>
      <c r="P16" s="124">
        <v>537</v>
      </c>
      <c r="Q16" s="120">
        <v>100</v>
      </c>
    </row>
    <row r="17" spans="1:20" s="4" customFormat="1" ht="14.25" customHeight="1" x14ac:dyDescent="0.2">
      <c r="A17" s="97" t="s">
        <v>23</v>
      </c>
      <c r="B17" s="24">
        <v>9968</v>
      </c>
      <c r="C17" s="25">
        <v>8874</v>
      </c>
      <c r="D17" s="28">
        <v>89.024879614767258</v>
      </c>
      <c r="E17" s="25">
        <v>8687</v>
      </c>
      <c r="F17" s="25">
        <v>8174</v>
      </c>
      <c r="G17" s="28">
        <v>94.094624151030274</v>
      </c>
      <c r="H17" s="25">
        <v>3309</v>
      </c>
      <c r="I17" s="25">
        <v>2917</v>
      </c>
      <c r="J17" s="28">
        <v>88.153520701118154</v>
      </c>
      <c r="K17" s="97" t="s">
        <v>23</v>
      </c>
      <c r="L17" s="124">
        <v>1323</v>
      </c>
      <c r="M17" s="124">
        <v>1197</v>
      </c>
      <c r="N17" s="122">
        <v>90.476190476190482</v>
      </c>
      <c r="O17" s="124">
        <v>182</v>
      </c>
      <c r="P17" s="124">
        <v>182</v>
      </c>
      <c r="Q17" s="120">
        <v>100</v>
      </c>
    </row>
    <row r="18" spans="1:20" s="4" customFormat="1" ht="14.25" customHeight="1" x14ac:dyDescent="0.2">
      <c r="A18" s="97" t="s">
        <v>9</v>
      </c>
      <c r="B18" s="24">
        <v>10050</v>
      </c>
      <c r="C18" s="25">
        <v>8624</v>
      </c>
      <c r="D18" s="28">
        <v>85.810945273631845</v>
      </c>
      <c r="E18" s="25">
        <v>8167</v>
      </c>
      <c r="F18" s="25">
        <v>6396</v>
      </c>
      <c r="G18" s="28">
        <v>78.315170809354711</v>
      </c>
      <c r="H18" s="25">
        <v>3459</v>
      </c>
      <c r="I18" s="25">
        <v>3120</v>
      </c>
      <c r="J18" s="28">
        <v>90.199479618386817</v>
      </c>
      <c r="K18" s="97" t="s">
        <v>9</v>
      </c>
      <c r="L18" s="124">
        <v>858</v>
      </c>
      <c r="M18" s="124">
        <v>678</v>
      </c>
      <c r="N18" s="122">
        <v>79.020979020979027</v>
      </c>
      <c r="O18" s="124">
        <v>291</v>
      </c>
      <c r="P18" s="124">
        <v>291</v>
      </c>
      <c r="Q18" s="120">
        <v>100</v>
      </c>
    </row>
    <row r="19" spans="1:20" s="4" customFormat="1" ht="24" customHeight="1" x14ac:dyDescent="0.2">
      <c r="A19" s="96" t="s">
        <v>24</v>
      </c>
      <c r="B19" s="24">
        <v>9994</v>
      </c>
      <c r="C19" s="25">
        <v>8208</v>
      </c>
      <c r="D19" s="28">
        <v>82.129277566539926</v>
      </c>
      <c r="E19" s="25">
        <v>8582</v>
      </c>
      <c r="F19" s="25">
        <v>7972</v>
      </c>
      <c r="G19" s="28">
        <v>92.89209974364951</v>
      </c>
      <c r="H19" s="25">
        <v>3534</v>
      </c>
      <c r="I19" s="25">
        <v>3229</v>
      </c>
      <c r="J19" s="28">
        <v>91.369552914544428</v>
      </c>
      <c r="K19" s="96" t="s">
        <v>24</v>
      </c>
      <c r="L19" s="124">
        <v>1153</v>
      </c>
      <c r="M19" s="124">
        <v>941</v>
      </c>
      <c r="N19" s="122">
        <v>81.613183000867309</v>
      </c>
      <c r="O19" s="124">
        <v>622</v>
      </c>
      <c r="P19" s="124">
        <v>622</v>
      </c>
      <c r="Q19" s="120">
        <v>100</v>
      </c>
    </row>
    <row r="20" spans="1:20" s="4" customFormat="1" ht="31.9" customHeight="1" x14ac:dyDescent="0.2">
      <c r="A20" s="119" t="s">
        <v>29</v>
      </c>
      <c r="B20" s="40">
        <v>72706</v>
      </c>
      <c r="C20" s="39">
        <v>63421</v>
      </c>
      <c r="D20" s="38">
        <v>87.229389596456969</v>
      </c>
      <c r="E20" s="39">
        <v>54693</v>
      </c>
      <c r="F20" s="39">
        <v>50802</v>
      </c>
      <c r="G20" s="38">
        <v>92.885744062311446</v>
      </c>
      <c r="H20" s="39">
        <v>23670</v>
      </c>
      <c r="I20" s="39">
        <v>21927</v>
      </c>
      <c r="J20" s="38">
        <v>92.636248415716096</v>
      </c>
      <c r="K20" s="119" t="s">
        <v>29</v>
      </c>
      <c r="L20" s="118">
        <v>6635</v>
      </c>
      <c r="M20" s="116">
        <v>5678</v>
      </c>
      <c r="N20" s="117">
        <v>85.576488319517708</v>
      </c>
      <c r="O20" s="116">
        <v>2224</v>
      </c>
      <c r="P20" s="116">
        <v>2224</v>
      </c>
      <c r="Q20" s="115">
        <v>100</v>
      </c>
    </row>
    <row r="21" spans="1:20" s="4" customFormat="1" ht="19.5" customHeight="1" x14ac:dyDescent="0.2">
      <c r="A21" s="91" t="s">
        <v>10</v>
      </c>
      <c r="B21" s="24">
        <v>22616</v>
      </c>
      <c r="C21" s="25">
        <v>19615</v>
      </c>
      <c r="D21" s="28">
        <v>86.730633180049523</v>
      </c>
      <c r="E21" s="25">
        <v>16423</v>
      </c>
      <c r="F21" s="25">
        <v>14515</v>
      </c>
      <c r="G21" s="28">
        <v>88.382146988978874</v>
      </c>
      <c r="H21" s="25">
        <v>5300</v>
      </c>
      <c r="I21" s="25">
        <v>4296</v>
      </c>
      <c r="J21" s="28">
        <v>81.056603773584897</v>
      </c>
      <c r="K21" s="91" t="s">
        <v>10</v>
      </c>
      <c r="L21" s="123">
        <v>2102</v>
      </c>
      <c r="M21" s="121">
        <v>1803</v>
      </c>
      <c r="N21" s="122">
        <v>85.775451950523305</v>
      </c>
      <c r="O21" s="121">
        <v>1309</v>
      </c>
      <c r="P21" s="121">
        <v>1309</v>
      </c>
      <c r="Q21" s="120">
        <v>100</v>
      </c>
    </row>
    <row r="22" spans="1:20" s="4" customFormat="1" ht="19.5" customHeight="1" x14ac:dyDescent="0.2">
      <c r="A22" s="91" t="s">
        <v>25</v>
      </c>
      <c r="B22" s="24">
        <v>10810</v>
      </c>
      <c r="C22" s="25">
        <v>8249</v>
      </c>
      <c r="D22" s="28">
        <v>76.308973172987976</v>
      </c>
      <c r="E22" s="25">
        <v>9002</v>
      </c>
      <c r="F22" s="25">
        <v>8461</v>
      </c>
      <c r="G22" s="28">
        <v>93.990224394578973</v>
      </c>
      <c r="H22" s="25">
        <v>4039</v>
      </c>
      <c r="I22" s="25">
        <v>3501</v>
      </c>
      <c r="J22" s="28">
        <v>86.679871255261205</v>
      </c>
      <c r="K22" s="91" t="s">
        <v>25</v>
      </c>
      <c r="L22" s="123">
        <v>633</v>
      </c>
      <c r="M22" s="121">
        <v>583</v>
      </c>
      <c r="N22" s="122">
        <v>92.101105845181678</v>
      </c>
      <c r="O22" s="121">
        <v>130</v>
      </c>
      <c r="P22" s="121">
        <v>130</v>
      </c>
      <c r="Q22" s="120">
        <v>100</v>
      </c>
    </row>
    <row r="23" spans="1:20" s="4" customFormat="1" ht="14.25" customHeight="1" x14ac:dyDescent="0.2">
      <c r="A23" s="91" t="s">
        <v>26</v>
      </c>
      <c r="B23" s="24">
        <v>7609</v>
      </c>
      <c r="C23" s="25">
        <v>6060</v>
      </c>
      <c r="D23" s="28">
        <v>79.642528584570897</v>
      </c>
      <c r="E23" s="25">
        <v>6293</v>
      </c>
      <c r="F23" s="25">
        <v>5754</v>
      </c>
      <c r="G23" s="28">
        <v>91.434927697441609</v>
      </c>
      <c r="H23" s="25">
        <v>2626</v>
      </c>
      <c r="I23" s="25">
        <v>1670</v>
      </c>
      <c r="J23" s="28">
        <v>63.5948210205636</v>
      </c>
      <c r="K23" s="91" t="s">
        <v>26</v>
      </c>
      <c r="L23" s="123">
        <v>520</v>
      </c>
      <c r="M23" s="121">
        <v>459</v>
      </c>
      <c r="N23" s="122">
        <v>88.269230769230774</v>
      </c>
      <c r="O23" s="121">
        <v>163</v>
      </c>
      <c r="P23" s="121">
        <v>163</v>
      </c>
      <c r="Q23" s="120">
        <v>100</v>
      </c>
    </row>
    <row r="24" spans="1:20" s="4" customFormat="1" ht="31.9" customHeight="1" x14ac:dyDescent="0.2">
      <c r="A24" s="119" t="s">
        <v>30</v>
      </c>
      <c r="B24" s="40">
        <v>41035</v>
      </c>
      <c r="C24" s="39">
        <v>33924</v>
      </c>
      <c r="D24" s="38">
        <v>82.670890703058362</v>
      </c>
      <c r="E24" s="39">
        <v>31718</v>
      </c>
      <c r="F24" s="39">
        <v>28730</v>
      </c>
      <c r="G24" s="38">
        <v>90.579481682325493</v>
      </c>
      <c r="H24" s="39">
        <v>11965</v>
      </c>
      <c r="I24" s="39">
        <v>9467</v>
      </c>
      <c r="J24" s="38">
        <v>79.122440451316351</v>
      </c>
      <c r="K24" s="119" t="s">
        <v>30</v>
      </c>
      <c r="L24" s="118">
        <v>3255</v>
      </c>
      <c r="M24" s="116">
        <v>2845</v>
      </c>
      <c r="N24" s="117">
        <v>87.403993855606757</v>
      </c>
      <c r="O24" s="116">
        <v>1602</v>
      </c>
      <c r="P24" s="116">
        <v>1602</v>
      </c>
      <c r="Q24" s="115">
        <v>100</v>
      </c>
    </row>
    <row r="25" spans="1:20" s="4" customFormat="1" ht="28.5" customHeight="1" x14ac:dyDescent="0.2">
      <c r="A25" s="82" t="s">
        <v>11</v>
      </c>
      <c r="B25" s="40">
        <v>170817</v>
      </c>
      <c r="C25" s="39">
        <v>145675</v>
      </c>
      <c r="D25" s="38">
        <v>85.28132445833846</v>
      </c>
      <c r="E25" s="39">
        <v>131963</v>
      </c>
      <c r="F25" s="39">
        <v>121735</v>
      </c>
      <c r="G25" s="38">
        <v>92.249342618764345</v>
      </c>
      <c r="H25" s="39">
        <v>54296</v>
      </c>
      <c r="I25" s="39">
        <v>48348</v>
      </c>
      <c r="J25" s="38">
        <v>89.045233534698681</v>
      </c>
      <c r="K25" s="82" t="s">
        <v>11</v>
      </c>
      <c r="L25" s="118">
        <v>15695</v>
      </c>
      <c r="M25" s="116">
        <v>13388</v>
      </c>
      <c r="N25" s="117">
        <v>85.301051290219817</v>
      </c>
      <c r="O25" s="116">
        <v>5954</v>
      </c>
      <c r="P25" s="116">
        <v>5954</v>
      </c>
      <c r="Q25" s="115">
        <v>100</v>
      </c>
    </row>
    <row r="26" spans="1:20" ht="12.75" customHeight="1" x14ac:dyDescent="0.2">
      <c r="A26" s="9"/>
      <c r="B26" s="13"/>
      <c r="C26" s="13"/>
      <c r="D26" s="14"/>
      <c r="E26" s="13"/>
      <c r="F26" s="13"/>
      <c r="G26" s="12"/>
      <c r="H26" s="13"/>
      <c r="I26" s="13"/>
      <c r="J26" s="15"/>
      <c r="K26" s="9"/>
      <c r="L26" s="13"/>
      <c r="M26" s="13"/>
      <c r="N26" s="10"/>
      <c r="Q26" s="35"/>
    </row>
    <row r="27" spans="1:20" ht="12.75" customHeight="1" x14ac:dyDescent="0.2">
      <c r="A27" s="1" t="s">
        <v>12</v>
      </c>
      <c r="J27" s="11"/>
      <c r="K27" s="1" t="s">
        <v>12</v>
      </c>
    </row>
    <row r="28" spans="1:20" ht="21.4" customHeight="1" x14ac:dyDescent="0.2">
      <c r="A28" s="174" t="s">
        <v>31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 t="s">
        <v>31</v>
      </c>
      <c r="L28" s="174"/>
      <c r="M28" s="174"/>
      <c r="N28" s="174"/>
      <c r="O28" s="174"/>
      <c r="P28" s="174"/>
      <c r="Q28" s="174"/>
      <c r="R28" s="114"/>
      <c r="S28" s="114"/>
      <c r="T28" s="114"/>
    </row>
    <row r="29" spans="1:20" ht="10.5" customHeight="1" x14ac:dyDescent="0.2">
      <c r="A29" s="4" t="s">
        <v>3</v>
      </c>
      <c r="G29" s="113"/>
      <c r="H29" s="112"/>
      <c r="I29" s="112"/>
      <c r="J29" s="4"/>
      <c r="K29" s="4" t="s">
        <v>3</v>
      </c>
      <c r="L29" s="4"/>
      <c r="M29" s="4"/>
      <c r="N29" s="111"/>
    </row>
    <row r="30" spans="1:20" ht="10.5" customHeight="1" x14ac:dyDescent="0.2">
      <c r="A30" s="4" t="s">
        <v>13</v>
      </c>
      <c r="G30" s="4"/>
      <c r="H30" s="4"/>
      <c r="I30" s="4"/>
      <c r="J30" s="4"/>
      <c r="K30" s="4" t="s">
        <v>13</v>
      </c>
      <c r="L30" s="4"/>
      <c r="M30" s="4"/>
      <c r="N30" s="111"/>
    </row>
    <row r="31" spans="1:20" ht="10.5" customHeight="1" x14ac:dyDescent="0.2">
      <c r="A31" s="4" t="s">
        <v>4</v>
      </c>
      <c r="H31" s="4"/>
      <c r="I31" s="4"/>
      <c r="J31" s="4"/>
      <c r="K31" s="4" t="s">
        <v>4</v>
      </c>
      <c r="L31" s="4"/>
      <c r="M31" s="4"/>
      <c r="N31" s="111"/>
    </row>
    <row r="32" spans="1:20" x14ac:dyDescent="0.2">
      <c r="Q32" t="s">
        <v>27</v>
      </c>
    </row>
  </sheetData>
  <mergeCells count="11">
    <mergeCell ref="O7:Q7"/>
    <mergeCell ref="A28:J28"/>
    <mergeCell ref="K28:Q28"/>
    <mergeCell ref="A6:A8"/>
    <mergeCell ref="B6:J6"/>
    <mergeCell ref="K6:K8"/>
    <mergeCell ref="L6:Q6"/>
    <mergeCell ref="B7:D7"/>
    <mergeCell ref="E7:G7"/>
    <mergeCell ref="H7:J7"/>
    <mergeCell ref="L7:N7"/>
  </mergeCells>
  <pageMargins left="0.78740157480314965" right="0.78740157480314965" top="0.98425196850393704" bottom="0.98425196850393704" header="0.51181102362204722" footer="0.51181102362204722"/>
  <pageSetup paperSize="9" orientation="portrait" useFirstPageNumber="1" horizontalDpi="4294967292" verticalDpi="4294967292" r:id="rId1"/>
  <headerFooter alignWithMargins="0">
    <oddHeader>&amp;C&amp;"Optimum,Fett"&amp;9&amp;P</oddHeader>
    <oddFooter>&amp;C&amp;7© Statistisches Landesamt des Freistaates Sachsen  -  Z III 1 - j/17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32"/>
  <sheetViews>
    <sheetView zoomScaleNormal="100" zoomScaleSheetLayoutView="100" workbookViewId="0"/>
  </sheetViews>
  <sheetFormatPr baseColWidth="10" defaultColWidth="13.85546875" defaultRowHeight="12.75" x14ac:dyDescent="0.2"/>
  <cols>
    <col min="1" max="1" width="17.85546875" style="1" customWidth="1"/>
    <col min="2" max="2" width="8.140625" style="1" customWidth="1"/>
    <col min="3" max="3" width="8.7109375" style="1" customWidth="1"/>
    <col min="4" max="4" width="6.28515625" style="1" customWidth="1"/>
    <col min="5" max="5" width="8.7109375" style="1" customWidth="1"/>
    <col min="6" max="6" width="8.5703125" style="1" customWidth="1"/>
    <col min="7" max="7" width="6" style="1" customWidth="1"/>
    <col min="8" max="9" width="6.28515625" style="1" customWidth="1"/>
    <col min="10" max="10" width="5.85546875" style="1" customWidth="1"/>
    <col min="11" max="11" width="20.85546875" style="1" customWidth="1"/>
    <col min="12" max="13" width="11" customWidth="1"/>
    <col min="14" max="14" width="11" style="17" customWidth="1"/>
    <col min="15" max="17" width="11" customWidth="1"/>
  </cols>
  <sheetData>
    <row r="1" spans="1:17" ht="12.4" customHeight="1" x14ac:dyDescent="0.2"/>
    <row r="2" spans="1:17" ht="12.4" customHeight="1" x14ac:dyDescent="0.2"/>
    <row r="3" spans="1:17" ht="12.4" customHeight="1" x14ac:dyDescent="0.2"/>
    <row r="4" spans="1:17" ht="12.4" customHeight="1" x14ac:dyDescent="0.2">
      <c r="A4" s="2"/>
      <c r="B4" s="2"/>
      <c r="C4" s="2"/>
      <c r="D4" s="2"/>
      <c r="E4" s="2"/>
      <c r="F4" s="2"/>
      <c r="K4" s="2"/>
    </row>
    <row r="5" spans="1:17" ht="12.4" customHeight="1" x14ac:dyDescent="0.2">
      <c r="A5" s="3"/>
      <c r="B5" s="3"/>
      <c r="C5" s="3"/>
      <c r="D5" s="3"/>
      <c r="E5" s="3"/>
      <c r="F5" s="3"/>
      <c r="K5" s="3"/>
    </row>
    <row r="6" spans="1:17" s="4" customFormat="1" ht="20.100000000000001" customHeight="1" x14ac:dyDescent="0.2">
      <c r="A6" s="177" t="s">
        <v>32</v>
      </c>
      <c r="B6" s="175" t="s">
        <v>16</v>
      </c>
      <c r="C6" s="176"/>
      <c r="D6" s="176"/>
      <c r="E6" s="176"/>
      <c r="F6" s="176"/>
      <c r="G6" s="176"/>
      <c r="H6" s="176"/>
      <c r="I6" s="176"/>
      <c r="J6" s="176"/>
      <c r="K6" s="177" t="s">
        <v>32</v>
      </c>
      <c r="L6" s="175" t="s">
        <v>16</v>
      </c>
      <c r="M6" s="176"/>
      <c r="N6" s="176"/>
      <c r="O6" s="176"/>
      <c r="P6" s="176"/>
      <c r="Q6" s="176"/>
    </row>
    <row r="7" spans="1:17" s="4" customFormat="1" ht="25.5" customHeight="1" x14ac:dyDescent="0.2">
      <c r="A7" s="178"/>
      <c r="B7" s="182" t="s">
        <v>0</v>
      </c>
      <c r="C7" s="183"/>
      <c r="D7" s="184"/>
      <c r="E7" s="181" t="s">
        <v>1</v>
      </c>
      <c r="F7" s="180"/>
      <c r="G7" s="179"/>
      <c r="H7" s="181" t="s">
        <v>14</v>
      </c>
      <c r="I7" s="180"/>
      <c r="J7" s="180"/>
      <c r="K7" s="178"/>
      <c r="L7" s="180" t="s">
        <v>15</v>
      </c>
      <c r="M7" s="180"/>
      <c r="N7" s="179"/>
      <c r="O7" s="175" t="s">
        <v>19</v>
      </c>
      <c r="P7" s="176"/>
      <c r="Q7" s="176"/>
    </row>
    <row r="8" spans="1:17" s="4" customFormat="1" ht="31.9" customHeight="1" x14ac:dyDescent="0.2">
      <c r="A8" s="179"/>
      <c r="B8" s="19" t="s">
        <v>18</v>
      </c>
      <c r="C8" s="8" t="s">
        <v>17</v>
      </c>
      <c r="D8" s="29" t="s">
        <v>2</v>
      </c>
      <c r="E8" s="19" t="s">
        <v>18</v>
      </c>
      <c r="F8" s="8" t="s">
        <v>17</v>
      </c>
      <c r="G8" s="16" t="s">
        <v>2</v>
      </c>
      <c r="H8" s="19" t="s">
        <v>18</v>
      </c>
      <c r="I8" s="8" t="s">
        <v>17</v>
      </c>
      <c r="J8" s="20" t="s">
        <v>2</v>
      </c>
      <c r="K8" s="179"/>
      <c r="L8" s="8" t="s">
        <v>18</v>
      </c>
      <c r="M8" s="8" t="s">
        <v>17</v>
      </c>
      <c r="N8" s="21" t="s">
        <v>2</v>
      </c>
      <c r="O8" s="19" t="s">
        <v>18</v>
      </c>
      <c r="P8" s="8" t="s">
        <v>17</v>
      </c>
      <c r="Q8" s="30" t="s">
        <v>2</v>
      </c>
    </row>
    <row r="9" spans="1:17" s="4" customFormat="1" ht="21.4" customHeight="1" x14ac:dyDescent="0.2">
      <c r="A9" s="99" t="s">
        <v>5</v>
      </c>
      <c r="B9" s="22">
        <v>9246</v>
      </c>
      <c r="C9" s="23">
        <v>7391</v>
      </c>
      <c r="D9" s="28">
        <f>C9*100/B9</f>
        <v>79.937270170884702</v>
      </c>
      <c r="E9" s="23">
        <v>6945</v>
      </c>
      <c r="F9" s="23">
        <v>5822</v>
      </c>
      <c r="G9" s="28">
        <f t="shared" ref="G9:G25" si="0">F9*100/E9</f>
        <v>83.830093592512597</v>
      </c>
      <c r="H9" s="23">
        <v>1985</v>
      </c>
      <c r="I9" s="23">
        <v>1729</v>
      </c>
      <c r="J9" s="28">
        <f t="shared" ref="J9:J25" si="1">I9*100/H9</f>
        <v>87.103274559193949</v>
      </c>
      <c r="K9" s="99" t="s">
        <v>5</v>
      </c>
      <c r="L9" s="124">
        <v>947</v>
      </c>
      <c r="M9" s="124">
        <v>817</v>
      </c>
      <c r="N9" s="122">
        <f t="shared" ref="N9:N25" si="2">M9*100/L9</f>
        <v>86.27243928194298</v>
      </c>
      <c r="O9" s="124">
        <v>735</v>
      </c>
      <c r="P9" s="124">
        <v>735</v>
      </c>
      <c r="Q9" s="120">
        <f t="shared" ref="Q9:Q25" si="3">P9*100/O9</f>
        <v>100</v>
      </c>
    </row>
    <row r="10" spans="1:17" s="4" customFormat="1" ht="19.5" customHeight="1" x14ac:dyDescent="0.2">
      <c r="A10" s="97" t="s">
        <v>20</v>
      </c>
      <c r="B10" s="24">
        <f>3213+2941+3414+4243</f>
        <v>13811</v>
      </c>
      <c r="C10" s="25">
        <f>2866+2603+2808+3321</f>
        <v>11598</v>
      </c>
      <c r="D10" s="28">
        <f t="shared" ref="D10:D25" si="4">C10*100/B10</f>
        <v>83.976540438780688</v>
      </c>
      <c r="E10" s="25">
        <f>2661+2531+2789+3493</f>
        <v>11474</v>
      </c>
      <c r="F10" s="25">
        <f>2585+2422+2598+2955</f>
        <v>10560</v>
      </c>
      <c r="G10" s="28">
        <f t="shared" si="0"/>
        <v>92.034164197315675</v>
      </c>
      <c r="H10" s="25">
        <f>1265+564+1449+1597</f>
        <v>4875</v>
      </c>
      <c r="I10" s="25">
        <f>1147+536+1382+1538</f>
        <v>4603</v>
      </c>
      <c r="J10" s="28">
        <f t="shared" si="1"/>
        <v>94.420512820512826</v>
      </c>
      <c r="K10" s="97" t="s">
        <v>20</v>
      </c>
      <c r="L10" s="124">
        <f>116+279+205+547</f>
        <v>1147</v>
      </c>
      <c r="M10" s="124">
        <f>107+258+190+492</f>
        <v>1047</v>
      </c>
      <c r="N10" s="122">
        <f t="shared" si="2"/>
        <v>91.281604184829988</v>
      </c>
      <c r="O10" s="124">
        <f>96+132+191+148</f>
        <v>567</v>
      </c>
      <c r="P10" s="124">
        <v>567</v>
      </c>
      <c r="Q10" s="120">
        <f t="shared" si="3"/>
        <v>100</v>
      </c>
    </row>
    <row r="11" spans="1:17" s="4" customFormat="1" ht="14.25" customHeight="1" x14ac:dyDescent="0.2">
      <c r="A11" s="97" t="s">
        <v>21</v>
      </c>
      <c r="B11" s="24">
        <f>4748+5863+2737</f>
        <v>13348</v>
      </c>
      <c r="C11" s="25">
        <f>3608+4937+2179</f>
        <v>10724</v>
      </c>
      <c r="D11" s="28">
        <f t="shared" si="4"/>
        <v>80.341624213365293</v>
      </c>
      <c r="E11" s="25">
        <f>3254+4669+1981</f>
        <v>9904</v>
      </c>
      <c r="F11" s="25">
        <f>3110+4402+1905</f>
        <v>9417</v>
      </c>
      <c r="G11" s="28">
        <f t="shared" si="0"/>
        <v>95.082794830371569</v>
      </c>
      <c r="H11" s="25">
        <f>1414+1286+949</f>
        <v>3649</v>
      </c>
      <c r="I11" s="25">
        <f>433+1139+904</f>
        <v>2476</v>
      </c>
      <c r="J11" s="28">
        <f t="shared" si="1"/>
        <v>67.854206631953957</v>
      </c>
      <c r="K11" s="97" t="s">
        <v>21</v>
      </c>
      <c r="L11" s="124">
        <f>370+698+348</f>
        <v>1416</v>
      </c>
      <c r="M11" s="124">
        <f>320+625+319</f>
        <v>1264</v>
      </c>
      <c r="N11" s="122">
        <f t="shared" si="2"/>
        <v>89.265536723163848</v>
      </c>
      <c r="O11" s="124">
        <f>0+372+33</f>
        <v>405</v>
      </c>
      <c r="P11" s="124">
        <v>405</v>
      </c>
      <c r="Q11" s="120">
        <f t="shared" si="3"/>
        <v>100</v>
      </c>
    </row>
    <row r="12" spans="1:17" s="4" customFormat="1" ht="14.25" customHeight="1" x14ac:dyDescent="0.2">
      <c r="A12" s="97" t="s">
        <v>6</v>
      </c>
      <c r="B12" s="24">
        <v>8637</v>
      </c>
      <c r="C12" s="25">
        <v>6138</v>
      </c>
      <c r="D12" s="28">
        <f t="shared" si="4"/>
        <v>71.066342480027785</v>
      </c>
      <c r="E12" s="25">
        <v>7380</v>
      </c>
      <c r="F12" s="25">
        <v>5036</v>
      </c>
      <c r="G12" s="28">
        <f t="shared" si="0"/>
        <v>68.238482384823854</v>
      </c>
      <c r="H12" s="25">
        <v>3237</v>
      </c>
      <c r="I12" s="25">
        <v>1267</v>
      </c>
      <c r="J12" s="28">
        <f t="shared" si="1"/>
        <v>39.141180105035524</v>
      </c>
      <c r="K12" s="97" t="s">
        <v>6</v>
      </c>
      <c r="L12" s="124">
        <v>819</v>
      </c>
      <c r="M12" s="124">
        <v>513</v>
      </c>
      <c r="N12" s="122">
        <f t="shared" si="2"/>
        <v>62.637362637362635</v>
      </c>
      <c r="O12" s="124">
        <v>61</v>
      </c>
      <c r="P12" s="124">
        <v>61</v>
      </c>
      <c r="Q12" s="120">
        <f t="shared" si="3"/>
        <v>100</v>
      </c>
    </row>
    <row r="13" spans="1:17" s="4" customFormat="1" ht="14.25" customHeight="1" x14ac:dyDescent="0.2">
      <c r="A13" s="97" t="s">
        <v>22</v>
      </c>
      <c r="B13" s="24">
        <f>8019+4576</f>
        <v>12595</v>
      </c>
      <c r="C13" s="25">
        <f>6727+3968</f>
        <v>10695</v>
      </c>
      <c r="D13" s="28">
        <f t="shared" si="4"/>
        <v>84.914648670107184</v>
      </c>
      <c r="E13" s="25">
        <f>6148+4011</f>
        <v>10159</v>
      </c>
      <c r="F13" s="25">
        <f>5632+3866</f>
        <v>9498</v>
      </c>
      <c r="G13" s="28">
        <f t="shared" si="0"/>
        <v>93.493454080126</v>
      </c>
      <c r="H13" s="25">
        <f>2828+1934</f>
        <v>4762</v>
      </c>
      <c r="I13" s="25">
        <f>2678+1889</f>
        <v>4567</v>
      </c>
      <c r="J13" s="28">
        <f t="shared" si="1"/>
        <v>95.905081898362027</v>
      </c>
      <c r="K13" s="97" t="s">
        <v>22</v>
      </c>
      <c r="L13" s="124">
        <f>1079+314</f>
        <v>1393</v>
      </c>
      <c r="M13" s="124">
        <f>957+291</f>
        <v>1248</v>
      </c>
      <c r="N13" s="122">
        <f t="shared" si="2"/>
        <v>89.590811198851398</v>
      </c>
      <c r="O13" s="124">
        <f>109+200</f>
        <v>309</v>
      </c>
      <c r="P13" s="124">
        <v>309</v>
      </c>
      <c r="Q13" s="120">
        <f t="shared" si="3"/>
        <v>100</v>
      </c>
    </row>
    <row r="14" spans="1:17" s="4" customFormat="1" ht="31.9" customHeight="1" x14ac:dyDescent="0.2">
      <c r="A14" s="26" t="s">
        <v>28</v>
      </c>
      <c r="B14" s="40">
        <f>SUM(B9:B13)</f>
        <v>57637</v>
      </c>
      <c r="C14" s="39">
        <f>SUM(C9:C13)</f>
        <v>46546</v>
      </c>
      <c r="D14" s="38">
        <f t="shared" si="4"/>
        <v>80.757152523552577</v>
      </c>
      <c r="E14" s="39">
        <f>SUM(E9:E13)</f>
        <v>45862</v>
      </c>
      <c r="F14" s="39">
        <f>SUM(F9:F13)</f>
        <v>40333</v>
      </c>
      <c r="G14" s="38">
        <f t="shared" si="0"/>
        <v>87.944267585364784</v>
      </c>
      <c r="H14" s="39">
        <f>SUM(H9:H13)</f>
        <v>18508</v>
      </c>
      <c r="I14" s="39">
        <f>SUM(I9:I13)</f>
        <v>14642</v>
      </c>
      <c r="J14" s="38">
        <f t="shared" si="1"/>
        <v>79.111735465744545</v>
      </c>
      <c r="K14" s="26" t="s">
        <v>28</v>
      </c>
      <c r="L14" s="118">
        <f>SUM(L9:L13)</f>
        <v>5722</v>
      </c>
      <c r="M14" s="116">
        <f>SUM(M9:M13)</f>
        <v>4889</v>
      </c>
      <c r="N14" s="117">
        <f t="shared" si="2"/>
        <v>85.442153093324009</v>
      </c>
      <c r="O14" s="116">
        <f>SUM(O9:O13)</f>
        <v>2077</v>
      </c>
      <c r="P14" s="116">
        <f>SUM(P9:P13)</f>
        <v>2077</v>
      </c>
      <c r="Q14" s="115">
        <f t="shared" si="3"/>
        <v>100</v>
      </c>
    </row>
    <row r="15" spans="1:17" s="4" customFormat="1" ht="19.5" customHeight="1" x14ac:dyDescent="0.2">
      <c r="A15" s="97" t="s">
        <v>7</v>
      </c>
      <c r="B15" s="24">
        <v>29212</v>
      </c>
      <c r="C15" s="25">
        <v>26270</v>
      </c>
      <c r="D15" s="28">
        <f t="shared" si="4"/>
        <v>89.928796385047235</v>
      </c>
      <c r="E15" s="25">
        <v>20192</v>
      </c>
      <c r="F15" s="25">
        <v>19441</v>
      </c>
      <c r="G15" s="28">
        <f t="shared" si="0"/>
        <v>96.28070522979398</v>
      </c>
      <c r="H15" s="25">
        <v>9391</v>
      </c>
      <c r="I15" s="25">
        <v>8964</v>
      </c>
      <c r="J15" s="28">
        <f t="shared" si="1"/>
        <v>95.453093387285705</v>
      </c>
      <c r="K15" s="97" t="s">
        <v>7</v>
      </c>
      <c r="L15" s="124">
        <v>2090</v>
      </c>
      <c r="M15" s="124">
        <v>1907</v>
      </c>
      <c r="N15" s="122">
        <f t="shared" si="2"/>
        <v>91.244019138755988</v>
      </c>
      <c r="O15" s="124">
        <v>592</v>
      </c>
      <c r="P15" s="124">
        <v>592</v>
      </c>
      <c r="Q15" s="120">
        <f t="shared" si="3"/>
        <v>100</v>
      </c>
    </row>
    <row r="16" spans="1:17" s="4" customFormat="1" ht="19.5" customHeight="1" x14ac:dyDescent="0.2">
      <c r="A16" s="97" t="s">
        <v>8</v>
      </c>
      <c r="B16" s="24">
        <f>6529+1262+5779</f>
        <v>13570</v>
      </c>
      <c r="C16" s="25">
        <f>5861+1192+4994</f>
        <v>12047</v>
      </c>
      <c r="D16" s="28">
        <f t="shared" si="4"/>
        <v>88.776713338246125</v>
      </c>
      <c r="E16" s="25">
        <f>5131+943+4573</f>
        <v>10647</v>
      </c>
      <c r="F16" s="25">
        <f>4864+907+4316</f>
        <v>10087</v>
      </c>
      <c r="G16" s="28">
        <f t="shared" si="0"/>
        <v>94.740302432610122</v>
      </c>
      <c r="H16" s="25">
        <f>2055+859+1931</f>
        <v>4845</v>
      </c>
      <c r="I16" s="25">
        <f>840+1915+1790</f>
        <v>4545</v>
      </c>
      <c r="J16" s="28">
        <f t="shared" si="1"/>
        <v>93.808049535603715</v>
      </c>
      <c r="K16" s="97" t="s">
        <v>8</v>
      </c>
      <c r="L16" s="124">
        <f>493+258+594</f>
        <v>1345</v>
      </c>
      <c r="M16" s="124">
        <f>438+258+554</f>
        <v>1250</v>
      </c>
      <c r="N16" s="122">
        <f t="shared" si="2"/>
        <v>92.936802973977692</v>
      </c>
      <c r="O16" s="124">
        <f>225+25+287</f>
        <v>537</v>
      </c>
      <c r="P16" s="124">
        <v>537</v>
      </c>
      <c r="Q16" s="120">
        <f t="shared" si="3"/>
        <v>100</v>
      </c>
    </row>
    <row r="17" spans="1:20" s="4" customFormat="1" ht="14.25" customHeight="1" x14ac:dyDescent="0.2">
      <c r="A17" s="97" t="s">
        <v>23</v>
      </c>
      <c r="B17" s="24">
        <f>2217+3202+4612</f>
        <v>10031</v>
      </c>
      <c r="C17" s="25">
        <f>1944+2816+4122</f>
        <v>8882</v>
      </c>
      <c r="D17" s="28">
        <f t="shared" si="4"/>
        <v>88.545508922340744</v>
      </c>
      <c r="E17" s="25">
        <f>1911+2689+3991</f>
        <v>8591</v>
      </c>
      <c r="F17" s="25">
        <f>1790+2529+3750</f>
        <v>8069</v>
      </c>
      <c r="G17" s="28">
        <f t="shared" si="0"/>
        <v>93.923873821441049</v>
      </c>
      <c r="H17" s="25">
        <f>1037+510+1949</f>
        <v>3496</v>
      </c>
      <c r="I17" s="25">
        <f>978+341+1556</f>
        <v>2875</v>
      </c>
      <c r="J17" s="28">
        <f t="shared" si="1"/>
        <v>82.236842105263165</v>
      </c>
      <c r="K17" s="97" t="s">
        <v>23</v>
      </c>
      <c r="L17" s="124">
        <f>424+313+633</f>
        <v>1370</v>
      </c>
      <c r="M17" s="124">
        <f>379+252+586</f>
        <v>1217</v>
      </c>
      <c r="N17" s="122">
        <f t="shared" si="2"/>
        <v>88.832116788321173</v>
      </c>
      <c r="O17" s="124">
        <f>45+54+91</f>
        <v>190</v>
      </c>
      <c r="P17" s="124">
        <v>190</v>
      </c>
      <c r="Q17" s="120">
        <f t="shared" si="3"/>
        <v>100</v>
      </c>
    </row>
    <row r="18" spans="1:20" s="4" customFormat="1" ht="14.25" customHeight="1" x14ac:dyDescent="0.2">
      <c r="A18" s="97" t="s">
        <v>9</v>
      </c>
      <c r="B18" s="24">
        <f>6987+3498</f>
        <v>10485</v>
      </c>
      <c r="C18" s="25">
        <f>5695+3047</f>
        <v>8742</v>
      </c>
      <c r="D18" s="28">
        <f t="shared" si="4"/>
        <v>83.376251788268959</v>
      </c>
      <c r="E18" s="25">
        <f>5179+3144</f>
        <v>8323</v>
      </c>
      <c r="F18" s="25">
        <f>4144+3045</f>
        <v>7189</v>
      </c>
      <c r="G18" s="28">
        <f t="shared" si="0"/>
        <v>86.375105130361646</v>
      </c>
      <c r="H18" s="25">
        <f>2503+1056</f>
        <v>3559</v>
      </c>
      <c r="I18" s="25">
        <f>1886+1019</f>
        <v>2905</v>
      </c>
      <c r="J18" s="28">
        <f t="shared" si="1"/>
        <v>81.624051699915711</v>
      </c>
      <c r="K18" s="97" t="s">
        <v>9</v>
      </c>
      <c r="L18" s="124">
        <f>590+379</f>
        <v>969</v>
      </c>
      <c r="M18" s="124">
        <f>493+356</f>
        <v>849</v>
      </c>
      <c r="N18" s="122">
        <f t="shared" si="2"/>
        <v>87.616099071207429</v>
      </c>
      <c r="O18" s="124">
        <f>304+29</f>
        <v>333</v>
      </c>
      <c r="P18" s="124">
        <v>333</v>
      </c>
      <c r="Q18" s="120">
        <f t="shared" si="3"/>
        <v>100</v>
      </c>
    </row>
    <row r="19" spans="1:20" s="4" customFormat="1" ht="24" customHeight="1" x14ac:dyDescent="0.2">
      <c r="A19" s="96" t="s">
        <v>24</v>
      </c>
      <c r="B19" s="24">
        <f>5200+5162</f>
        <v>10362</v>
      </c>
      <c r="C19" s="25">
        <f>4152+4422</f>
        <v>8574</v>
      </c>
      <c r="D19" s="28">
        <f t="shared" si="4"/>
        <v>82.744643891140711</v>
      </c>
      <c r="E19" s="25">
        <f>4646+4511</f>
        <v>9157</v>
      </c>
      <c r="F19" s="25">
        <f>4519+4196</f>
        <v>8715</v>
      </c>
      <c r="G19" s="28">
        <f t="shared" si="0"/>
        <v>95.173091623894294</v>
      </c>
      <c r="H19" s="25">
        <f>1835+2050</f>
        <v>3885</v>
      </c>
      <c r="I19" s="25">
        <f>1673+1965</f>
        <v>3638</v>
      </c>
      <c r="J19" s="28">
        <f t="shared" si="1"/>
        <v>93.642213642213648</v>
      </c>
      <c r="K19" s="96" t="s">
        <v>24</v>
      </c>
      <c r="L19" s="124">
        <f>480+657</f>
        <v>1137</v>
      </c>
      <c r="M19" s="124">
        <f>385+549</f>
        <v>934</v>
      </c>
      <c r="N19" s="122">
        <f t="shared" si="2"/>
        <v>82.145998240985051</v>
      </c>
      <c r="O19" s="124">
        <f>470+193</f>
        <v>663</v>
      </c>
      <c r="P19" s="124">
        <v>663</v>
      </c>
      <c r="Q19" s="120">
        <f t="shared" si="3"/>
        <v>100</v>
      </c>
    </row>
    <row r="20" spans="1:20" s="4" customFormat="1" ht="31.9" customHeight="1" x14ac:dyDescent="0.2">
      <c r="A20" s="119" t="s">
        <v>29</v>
      </c>
      <c r="B20" s="40">
        <f>SUM(B15:B19)</f>
        <v>73660</v>
      </c>
      <c r="C20" s="39">
        <f>SUM(C15:C19)</f>
        <v>64515</v>
      </c>
      <c r="D20" s="38">
        <f t="shared" si="4"/>
        <v>87.584849307629653</v>
      </c>
      <c r="E20" s="39">
        <f>SUM(E15:E19)</f>
        <v>56910</v>
      </c>
      <c r="F20" s="39">
        <f>SUM(F15:F19)</f>
        <v>53501</v>
      </c>
      <c r="G20" s="38">
        <f t="shared" si="0"/>
        <v>94.009840098400986</v>
      </c>
      <c r="H20" s="39">
        <f>SUM(H15:H19)</f>
        <v>25176</v>
      </c>
      <c r="I20" s="39">
        <f>SUM(I15:I19)</f>
        <v>22927</v>
      </c>
      <c r="J20" s="38">
        <f t="shared" si="1"/>
        <v>91.066889100730862</v>
      </c>
      <c r="K20" s="119" t="s">
        <v>29</v>
      </c>
      <c r="L20" s="118">
        <f>SUM(L15:L19)</f>
        <v>6911</v>
      </c>
      <c r="M20" s="116">
        <f>SUM(M15:M19)</f>
        <v>6157</v>
      </c>
      <c r="N20" s="117">
        <f t="shared" si="2"/>
        <v>89.089856750108524</v>
      </c>
      <c r="O20" s="116">
        <f>SUM(O15:O19)</f>
        <v>2315</v>
      </c>
      <c r="P20" s="116">
        <f>SUM(P15:P19)</f>
        <v>2315</v>
      </c>
      <c r="Q20" s="115">
        <f t="shared" si="3"/>
        <v>100</v>
      </c>
    </row>
    <row r="21" spans="1:20" s="4" customFormat="1" ht="19.5" customHeight="1" x14ac:dyDescent="0.2">
      <c r="A21" s="91" t="s">
        <v>10</v>
      </c>
      <c r="B21" s="24">
        <v>24580</v>
      </c>
      <c r="C21" s="25">
        <v>20421</v>
      </c>
      <c r="D21" s="28">
        <f t="shared" si="4"/>
        <v>83.079739625711966</v>
      </c>
      <c r="E21" s="25">
        <v>17407</v>
      </c>
      <c r="F21" s="25">
        <v>14985</v>
      </c>
      <c r="G21" s="28">
        <f t="shared" si="0"/>
        <v>86.086057333256733</v>
      </c>
      <c r="H21" s="25">
        <v>5979</v>
      </c>
      <c r="I21" s="25">
        <v>4957</v>
      </c>
      <c r="J21" s="28">
        <f t="shared" si="1"/>
        <v>82.906840608797452</v>
      </c>
      <c r="K21" s="91" t="s">
        <v>10</v>
      </c>
      <c r="L21" s="123">
        <v>2120</v>
      </c>
      <c r="M21" s="121">
        <v>1834</v>
      </c>
      <c r="N21" s="122">
        <f t="shared" si="2"/>
        <v>86.509433962264154</v>
      </c>
      <c r="O21" s="121">
        <v>1426</v>
      </c>
      <c r="P21" s="121">
        <v>1426</v>
      </c>
      <c r="Q21" s="120">
        <f t="shared" si="3"/>
        <v>100</v>
      </c>
    </row>
    <row r="22" spans="1:20" s="4" customFormat="1" ht="19.5" customHeight="1" x14ac:dyDescent="0.2">
      <c r="A22" s="91" t="s">
        <v>25</v>
      </c>
      <c r="B22" s="24">
        <f>5519+5932</f>
        <v>11451</v>
      </c>
      <c r="C22" s="25">
        <f>4689+4547</f>
        <v>9236</v>
      </c>
      <c r="D22" s="28">
        <f t="shared" si="4"/>
        <v>80.65671120426164</v>
      </c>
      <c r="E22" s="25">
        <f>4413+5003</f>
        <v>9416</v>
      </c>
      <c r="F22" s="25">
        <f>3782+3524</f>
        <v>7306</v>
      </c>
      <c r="G22" s="28">
        <f t="shared" si="0"/>
        <v>77.591333899745109</v>
      </c>
      <c r="H22" s="25">
        <f>2145+2008</f>
        <v>4153</v>
      </c>
      <c r="I22" s="25">
        <f>1880+779</f>
        <v>2659</v>
      </c>
      <c r="J22" s="28">
        <f t="shared" si="1"/>
        <v>64.026005297375391</v>
      </c>
      <c r="K22" s="91" t="s">
        <v>25</v>
      </c>
      <c r="L22" s="123">
        <f>361+268</f>
        <v>629</v>
      </c>
      <c r="M22" s="121">
        <f>355+80</f>
        <v>435</v>
      </c>
      <c r="N22" s="122">
        <f t="shared" si="2"/>
        <v>69.157392686804457</v>
      </c>
      <c r="O22" s="121">
        <f>27+103</f>
        <v>130</v>
      </c>
      <c r="P22" s="121">
        <v>130</v>
      </c>
      <c r="Q22" s="120">
        <f t="shared" si="3"/>
        <v>100</v>
      </c>
    </row>
    <row r="23" spans="1:20" s="4" customFormat="1" ht="14.25" customHeight="1" x14ac:dyDescent="0.2">
      <c r="A23" s="91" t="s">
        <v>26</v>
      </c>
      <c r="B23" s="24">
        <f>4374+3389</f>
        <v>7763</v>
      </c>
      <c r="C23" s="25">
        <f>3006+3068</f>
        <v>6074</v>
      </c>
      <c r="D23" s="28">
        <f t="shared" si="4"/>
        <v>78.242947314182658</v>
      </c>
      <c r="E23" s="25">
        <f>3336+2833</f>
        <v>6169</v>
      </c>
      <c r="F23" s="25">
        <f>2702+2748</f>
        <v>5450</v>
      </c>
      <c r="G23" s="28">
        <f t="shared" si="0"/>
        <v>88.344950559247849</v>
      </c>
      <c r="H23" s="25">
        <f>1179+1229</f>
        <v>2408</v>
      </c>
      <c r="I23" s="25">
        <f>764+1187</f>
        <v>1951</v>
      </c>
      <c r="J23" s="28">
        <f t="shared" si="1"/>
        <v>81.021594684385377</v>
      </c>
      <c r="K23" s="91" t="s">
        <v>26</v>
      </c>
      <c r="L23" s="123">
        <f>282+354</f>
        <v>636</v>
      </c>
      <c r="M23" s="121">
        <f>237+266</f>
        <v>503</v>
      </c>
      <c r="N23" s="122">
        <f t="shared" si="2"/>
        <v>79.088050314465406</v>
      </c>
      <c r="O23" s="121">
        <f>163</f>
        <v>163</v>
      </c>
      <c r="P23" s="121">
        <v>163</v>
      </c>
      <c r="Q23" s="120">
        <f t="shared" si="3"/>
        <v>100</v>
      </c>
    </row>
    <row r="24" spans="1:20" s="4" customFormat="1" ht="31.9" customHeight="1" x14ac:dyDescent="0.2">
      <c r="A24" s="119" t="s">
        <v>30</v>
      </c>
      <c r="B24" s="40">
        <f>SUM(B21:B23)</f>
        <v>43794</v>
      </c>
      <c r="C24" s="39">
        <f>SUM(C21:C23)</f>
        <v>35731</v>
      </c>
      <c r="D24" s="38">
        <f t="shared" si="4"/>
        <v>81.588802119011731</v>
      </c>
      <c r="E24" s="39">
        <f>SUM(E21:E23)</f>
        <v>32992</v>
      </c>
      <c r="F24" s="39">
        <f>SUM(F21:F23)</f>
        <v>27741</v>
      </c>
      <c r="G24" s="38">
        <f t="shared" si="0"/>
        <v>84.084020368574201</v>
      </c>
      <c r="H24" s="39">
        <f>SUM(H21:H23)</f>
        <v>12540</v>
      </c>
      <c r="I24" s="39">
        <f>SUM(I21:I23)</f>
        <v>9567</v>
      </c>
      <c r="J24" s="38">
        <f t="shared" si="1"/>
        <v>76.291866028708128</v>
      </c>
      <c r="K24" s="119" t="s">
        <v>30</v>
      </c>
      <c r="L24" s="118">
        <f>SUM(L21:L23)</f>
        <v>3385</v>
      </c>
      <c r="M24" s="116">
        <f>SUM(M21:M23)</f>
        <v>2772</v>
      </c>
      <c r="N24" s="117">
        <f t="shared" si="2"/>
        <v>81.890694239290994</v>
      </c>
      <c r="O24" s="116">
        <f>SUM(O21:O23)</f>
        <v>1719</v>
      </c>
      <c r="P24" s="116">
        <f>SUM(P21:P23)</f>
        <v>1719</v>
      </c>
      <c r="Q24" s="115">
        <f t="shared" si="3"/>
        <v>100</v>
      </c>
    </row>
    <row r="25" spans="1:20" s="4" customFormat="1" ht="28.5" customHeight="1" x14ac:dyDescent="0.2">
      <c r="A25" s="82" t="s">
        <v>11</v>
      </c>
      <c r="B25" s="40">
        <f>SUM(B21:B23,B15:B19,B9:B13)</f>
        <v>175091</v>
      </c>
      <c r="C25" s="39">
        <f>SUM(C21:C23,C15:C19,C9:C13)</f>
        <v>146792</v>
      </c>
      <c r="D25" s="38">
        <f t="shared" si="4"/>
        <v>83.837547332529937</v>
      </c>
      <c r="E25" s="39">
        <f>SUM(E21:E23,E15:E19,E9:E13)</f>
        <v>135764</v>
      </c>
      <c r="F25" s="39">
        <f>SUM(F21:F23,F15:F19,F9:F13)</f>
        <v>121575</v>
      </c>
      <c r="G25" s="38">
        <f t="shared" si="0"/>
        <v>89.548775816858665</v>
      </c>
      <c r="H25" s="39">
        <f>SUM(H21:H23,H15:H19,H9:H13)</f>
        <v>56224</v>
      </c>
      <c r="I25" s="39">
        <f>SUM(I21:I23,I15:I19,I9:I13)</f>
        <v>47136</v>
      </c>
      <c r="J25" s="38">
        <f t="shared" si="1"/>
        <v>83.836084234490613</v>
      </c>
      <c r="K25" s="82" t="s">
        <v>11</v>
      </c>
      <c r="L25" s="118">
        <f>SUM(L21:L23,L15:L19,L9:L13)</f>
        <v>16018</v>
      </c>
      <c r="M25" s="116">
        <f>SUM(M21:M23,M15:M19,M9:M13)</f>
        <v>13818</v>
      </c>
      <c r="N25" s="117">
        <f t="shared" si="2"/>
        <v>86.265451367211881</v>
      </c>
      <c r="O25" s="116">
        <f>SUM(O21:O23,O15:O19,O9:O13)</f>
        <v>6111</v>
      </c>
      <c r="P25" s="116">
        <f>SUM(P21:P23,P15:P19,P9:P13)</f>
        <v>6111</v>
      </c>
      <c r="Q25" s="115">
        <f t="shared" si="3"/>
        <v>100</v>
      </c>
    </row>
    <row r="26" spans="1:20" ht="12.75" customHeight="1" x14ac:dyDescent="0.2">
      <c r="A26" s="9"/>
      <c r="B26" s="13"/>
      <c r="C26" s="13"/>
      <c r="D26" s="14"/>
      <c r="E26" s="13"/>
      <c r="F26" s="13"/>
      <c r="G26" s="12"/>
      <c r="H26" s="13"/>
      <c r="I26" s="13"/>
      <c r="J26" s="15"/>
      <c r="K26" s="9"/>
      <c r="L26" s="13"/>
      <c r="M26" s="13"/>
      <c r="N26" s="10"/>
      <c r="Q26" s="35"/>
    </row>
    <row r="27" spans="1:20" ht="12.75" customHeight="1" x14ac:dyDescent="0.2">
      <c r="A27" s="1" t="s">
        <v>12</v>
      </c>
      <c r="J27" s="11"/>
      <c r="K27" s="1" t="s">
        <v>12</v>
      </c>
    </row>
    <row r="28" spans="1:20" ht="21.4" customHeight="1" x14ac:dyDescent="0.2">
      <c r="A28" s="174" t="s">
        <v>31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 t="s">
        <v>31</v>
      </c>
      <c r="L28" s="174"/>
      <c r="M28" s="174"/>
      <c r="N28" s="174"/>
      <c r="O28" s="174"/>
      <c r="P28" s="174"/>
      <c r="Q28" s="174"/>
      <c r="R28" s="114"/>
      <c r="S28" s="114"/>
      <c r="T28" s="114"/>
    </row>
    <row r="29" spans="1:20" ht="10.5" customHeight="1" x14ac:dyDescent="0.2">
      <c r="A29" s="4" t="s">
        <v>3</v>
      </c>
      <c r="G29" s="113"/>
      <c r="H29" s="112"/>
      <c r="I29" s="112"/>
      <c r="J29" s="4"/>
      <c r="K29" s="4" t="s">
        <v>3</v>
      </c>
      <c r="L29" s="4"/>
      <c r="M29" s="4"/>
      <c r="N29" s="111"/>
    </row>
    <row r="30" spans="1:20" ht="10.5" customHeight="1" x14ac:dyDescent="0.2">
      <c r="A30" s="4" t="s">
        <v>13</v>
      </c>
      <c r="G30" s="4"/>
      <c r="H30" s="4"/>
      <c r="I30" s="4"/>
      <c r="J30" s="4"/>
      <c r="K30" s="4" t="s">
        <v>13</v>
      </c>
      <c r="L30" s="4"/>
      <c r="M30" s="4"/>
      <c r="N30" s="111"/>
    </row>
    <row r="31" spans="1:20" ht="10.5" customHeight="1" x14ac:dyDescent="0.2">
      <c r="A31" s="4" t="s">
        <v>4</v>
      </c>
      <c r="H31" s="4"/>
      <c r="I31" s="4"/>
      <c r="J31" s="4"/>
      <c r="K31" s="4" t="s">
        <v>4</v>
      </c>
      <c r="L31" s="4"/>
      <c r="M31" s="4"/>
      <c r="N31" s="111"/>
    </row>
    <row r="32" spans="1:20" x14ac:dyDescent="0.2">
      <c r="Q32" t="s">
        <v>27</v>
      </c>
    </row>
  </sheetData>
  <mergeCells count="11">
    <mergeCell ref="L7:N7"/>
    <mergeCell ref="O7:Q7"/>
    <mergeCell ref="A28:J28"/>
    <mergeCell ref="K28:Q28"/>
    <mergeCell ref="A6:A8"/>
    <mergeCell ref="B6:J6"/>
    <mergeCell ref="K6:K8"/>
    <mergeCell ref="L6:Q6"/>
    <mergeCell ref="B7:D7"/>
    <mergeCell ref="E7:G7"/>
    <mergeCell ref="H7:J7"/>
  </mergeCells>
  <pageMargins left="0.78740157480314965" right="0.78740157480314965" top="0.98425196850393704" bottom="0.98425196850393704" header="0.51181102362204722" footer="0.51181102362204722"/>
  <pageSetup paperSize="9" orientation="portrait" useFirstPageNumber="1" horizontalDpi="4294967292" verticalDpi="4294967292" r:id="rId1"/>
  <headerFooter alignWithMargins="0">
    <oddHeader>&amp;C&amp;"Optimum,Fett"&amp;9&amp;P</oddHeader>
    <oddFooter>&amp;C&amp;7© Statistisches Landesamt des Freistaates Sachsen  -  Z III 1 - j/18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32"/>
  <sheetViews>
    <sheetView zoomScaleNormal="100" zoomScaleSheetLayoutView="100" workbookViewId="0"/>
  </sheetViews>
  <sheetFormatPr baseColWidth="10" defaultColWidth="13.85546875" defaultRowHeight="12.75" x14ac:dyDescent="0.2"/>
  <cols>
    <col min="1" max="1" width="17.85546875" style="1" customWidth="1"/>
    <col min="2" max="2" width="8.140625" style="1" customWidth="1"/>
    <col min="3" max="3" width="8.7109375" style="1" customWidth="1"/>
    <col min="4" max="4" width="6.28515625" style="1" customWidth="1"/>
    <col min="5" max="5" width="8.7109375" style="1" customWidth="1"/>
    <col min="6" max="6" width="8.5703125" style="1" customWidth="1"/>
    <col min="7" max="7" width="6" style="1" customWidth="1"/>
    <col min="8" max="9" width="6.28515625" style="1" customWidth="1"/>
    <col min="10" max="10" width="5.85546875" style="1" customWidth="1"/>
    <col min="11" max="11" width="20.85546875" style="1" customWidth="1"/>
    <col min="12" max="13" width="11" customWidth="1"/>
    <col min="14" max="14" width="11" style="17" customWidth="1"/>
    <col min="15" max="17" width="11" customWidth="1"/>
  </cols>
  <sheetData>
    <row r="1" spans="1:17" ht="12.4" customHeight="1" x14ac:dyDescent="0.2"/>
    <row r="2" spans="1:17" ht="12.4" customHeight="1" x14ac:dyDescent="0.2"/>
    <row r="3" spans="1:17" ht="12.4" customHeight="1" x14ac:dyDescent="0.2"/>
    <row r="4" spans="1:17" ht="12.4" customHeight="1" x14ac:dyDescent="0.2">
      <c r="A4" s="2"/>
      <c r="B4" s="2"/>
      <c r="C4" s="2"/>
      <c r="D4" s="2"/>
      <c r="E4" s="2"/>
      <c r="F4" s="2"/>
      <c r="K4" s="2"/>
    </row>
    <row r="5" spans="1:17" ht="12.4" customHeight="1" x14ac:dyDescent="0.2">
      <c r="A5" s="3"/>
      <c r="B5" s="3"/>
      <c r="C5" s="3"/>
      <c r="D5" s="3"/>
      <c r="E5" s="3"/>
      <c r="F5" s="3"/>
      <c r="K5" s="3"/>
    </row>
    <row r="6" spans="1:17" s="4" customFormat="1" ht="20.100000000000001" customHeight="1" x14ac:dyDescent="0.2">
      <c r="A6" s="177" t="s">
        <v>32</v>
      </c>
      <c r="B6" s="175" t="s">
        <v>16</v>
      </c>
      <c r="C6" s="176"/>
      <c r="D6" s="176"/>
      <c r="E6" s="176"/>
      <c r="F6" s="176"/>
      <c r="G6" s="176"/>
      <c r="H6" s="176"/>
      <c r="I6" s="176"/>
      <c r="J6" s="176"/>
      <c r="K6" s="177" t="s">
        <v>32</v>
      </c>
      <c r="L6" s="175" t="s">
        <v>16</v>
      </c>
      <c r="M6" s="176"/>
      <c r="N6" s="176"/>
      <c r="O6" s="176"/>
      <c r="P6" s="176"/>
      <c r="Q6" s="176"/>
    </row>
    <row r="7" spans="1:17" s="4" customFormat="1" ht="25.5" customHeight="1" x14ac:dyDescent="0.2">
      <c r="A7" s="178"/>
      <c r="B7" s="182" t="s">
        <v>0</v>
      </c>
      <c r="C7" s="183"/>
      <c r="D7" s="184"/>
      <c r="E7" s="181" t="s">
        <v>1</v>
      </c>
      <c r="F7" s="180"/>
      <c r="G7" s="179"/>
      <c r="H7" s="181" t="s">
        <v>14</v>
      </c>
      <c r="I7" s="180"/>
      <c r="J7" s="180"/>
      <c r="K7" s="178"/>
      <c r="L7" s="180" t="s">
        <v>15</v>
      </c>
      <c r="M7" s="180"/>
      <c r="N7" s="179"/>
      <c r="O7" s="175" t="s">
        <v>19</v>
      </c>
      <c r="P7" s="176"/>
      <c r="Q7" s="176"/>
    </row>
    <row r="8" spans="1:17" s="4" customFormat="1" ht="31.9" customHeight="1" x14ac:dyDescent="0.2">
      <c r="A8" s="179"/>
      <c r="B8" s="19" t="s">
        <v>18</v>
      </c>
      <c r="C8" s="8" t="s">
        <v>17</v>
      </c>
      <c r="D8" s="29" t="s">
        <v>2</v>
      </c>
      <c r="E8" s="19" t="s">
        <v>18</v>
      </c>
      <c r="F8" s="8" t="s">
        <v>17</v>
      </c>
      <c r="G8" s="16" t="s">
        <v>2</v>
      </c>
      <c r="H8" s="19" t="s">
        <v>18</v>
      </c>
      <c r="I8" s="8" t="s">
        <v>17</v>
      </c>
      <c r="J8" s="20" t="s">
        <v>2</v>
      </c>
      <c r="K8" s="179"/>
      <c r="L8" s="8" t="s">
        <v>18</v>
      </c>
      <c r="M8" s="8" t="s">
        <v>17</v>
      </c>
      <c r="N8" s="21" t="s">
        <v>2</v>
      </c>
      <c r="O8" s="19" t="s">
        <v>18</v>
      </c>
      <c r="P8" s="8" t="s">
        <v>17</v>
      </c>
      <c r="Q8" s="30" t="s">
        <v>2</v>
      </c>
    </row>
    <row r="9" spans="1:17" s="4" customFormat="1" ht="21.4" customHeight="1" x14ac:dyDescent="0.2">
      <c r="A9" s="99" t="s">
        <v>5</v>
      </c>
      <c r="B9" s="22">
        <v>9520</v>
      </c>
      <c r="C9" s="23">
        <v>5867</v>
      </c>
      <c r="D9" s="28">
        <v>61.6</v>
      </c>
      <c r="E9" s="23">
        <v>5882</v>
      </c>
      <c r="F9" s="23">
        <v>3710</v>
      </c>
      <c r="G9" s="28">
        <v>63.1</v>
      </c>
      <c r="H9" s="23">
        <v>1847</v>
      </c>
      <c r="I9" s="23">
        <v>915</v>
      </c>
      <c r="J9" s="28">
        <v>49.5</v>
      </c>
      <c r="K9" s="99" t="s">
        <v>5</v>
      </c>
      <c r="L9" s="124">
        <v>900</v>
      </c>
      <c r="M9" s="124">
        <v>362</v>
      </c>
      <c r="N9" s="122">
        <v>40.200000000000003</v>
      </c>
      <c r="O9" s="124">
        <v>800</v>
      </c>
      <c r="P9" s="124">
        <v>800</v>
      </c>
      <c r="Q9" s="120">
        <v>100</v>
      </c>
    </row>
    <row r="10" spans="1:17" s="4" customFormat="1" ht="19.5" customHeight="1" x14ac:dyDescent="0.2">
      <c r="A10" s="97" t="s">
        <v>20</v>
      </c>
      <c r="B10" s="24">
        <v>13544</v>
      </c>
      <c r="C10" s="25">
        <v>7141</v>
      </c>
      <c r="D10" s="28">
        <v>52.7</v>
      </c>
      <c r="E10" s="25">
        <v>11359</v>
      </c>
      <c r="F10" s="25">
        <v>7239</v>
      </c>
      <c r="G10" s="28">
        <v>63.7</v>
      </c>
      <c r="H10" s="25">
        <v>4428</v>
      </c>
      <c r="I10" s="25">
        <v>1636</v>
      </c>
      <c r="J10" s="28">
        <v>36.9</v>
      </c>
      <c r="K10" s="97" t="s">
        <v>20</v>
      </c>
      <c r="L10" s="124">
        <v>1164</v>
      </c>
      <c r="M10" s="124">
        <v>524</v>
      </c>
      <c r="N10" s="122">
        <v>45</v>
      </c>
      <c r="O10" s="124">
        <v>567</v>
      </c>
      <c r="P10" s="124">
        <v>567</v>
      </c>
      <c r="Q10" s="120">
        <v>100</v>
      </c>
    </row>
    <row r="11" spans="1:17" s="4" customFormat="1" ht="14.25" customHeight="1" x14ac:dyDescent="0.2">
      <c r="A11" s="97" t="s">
        <v>21</v>
      </c>
      <c r="B11" s="24">
        <v>13107</v>
      </c>
      <c r="C11" s="25">
        <v>7812</v>
      </c>
      <c r="D11" s="28">
        <v>59.6</v>
      </c>
      <c r="E11" s="25">
        <v>9860</v>
      </c>
      <c r="F11" s="25">
        <v>6199</v>
      </c>
      <c r="G11" s="28">
        <v>62.9</v>
      </c>
      <c r="H11" s="25">
        <v>3645</v>
      </c>
      <c r="I11" s="25">
        <v>814</v>
      </c>
      <c r="J11" s="28">
        <v>22.3</v>
      </c>
      <c r="K11" s="97" t="s">
        <v>21</v>
      </c>
      <c r="L11" s="124">
        <v>1416</v>
      </c>
      <c r="M11" s="124">
        <v>876</v>
      </c>
      <c r="N11" s="122">
        <v>61.9</v>
      </c>
      <c r="O11" s="124">
        <v>405</v>
      </c>
      <c r="P11" s="124">
        <v>405</v>
      </c>
      <c r="Q11" s="120">
        <v>100</v>
      </c>
    </row>
    <row r="12" spans="1:17" s="4" customFormat="1" ht="14.25" customHeight="1" x14ac:dyDescent="0.2">
      <c r="A12" s="97" t="s">
        <v>6</v>
      </c>
      <c r="B12" s="24">
        <v>8325</v>
      </c>
      <c r="C12" s="25">
        <v>4624</v>
      </c>
      <c r="D12" s="28">
        <v>55.5</v>
      </c>
      <c r="E12" s="25">
        <v>7288</v>
      </c>
      <c r="F12" s="25">
        <v>3173</v>
      </c>
      <c r="G12" s="28">
        <v>43.5</v>
      </c>
      <c r="H12" s="25">
        <v>3381</v>
      </c>
      <c r="I12" s="25">
        <v>968</v>
      </c>
      <c r="J12" s="28">
        <v>28.6</v>
      </c>
      <c r="K12" s="97" t="s">
        <v>6</v>
      </c>
      <c r="L12" s="124">
        <v>820</v>
      </c>
      <c r="M12" s="124">
        <v>390</v>
      </c>
      <c r="N12" s="122">
        <v>47.6</v>
      </c>
      <c r="O12" s="124">
        <v>61</v>
      </c>
      <c r="P12" s="124">
        <v>61</v>
      </c>
      <c r="Q12" s="120">
        <v>100</v>
      </c>
    </row>
    <row r="13" spans="1:17" s="4" customFormat="1" ht="14.25" customHeight="1" x14ac:dyDescent="0.2">
      <c r="A13" s="97" t="s">
        <v>22</v>
      </c>
      <c r="B13" s="24">
        <v>12541</v>
      </c>
      <c r="C13" s="25">
        <v>8107</v>
      </c>
      <c r="D13" s="28">
        <v>64.599999999999994</v>
      </c>
      <c r="E13" s="25">
        <v>10325</v>
      </c>
      <c r="F13" s="25">
        <v>7798</v>
      </c>
      <c r="G13" s="28">
        <v>75.5</v>
      </c>
      <c r="H13" s="25">
        <v>4847</v>
      </c>
      <c r="I13" s="25">
        <v>3394</v>
      </c>
      <c r="J13" s="28">
        <v>70</v>
      </c>
      <c r="K13" s="97" t="s">
        <v>22</v>
      </c>
      <c r="L13" s="124">
        <v>1320</v>
      </c>
      <c r="M13" s="124">
        <v>910</v>
      </c>
      <c r="N13" s="122">
        <v>68.900000000000006</v>
      </c>
      <c r="O13" s="124">
        <v>309</v>
      </c>
      <c r="P13" s="124">
        <v>309</v>
      </c>
      <c r="Q13" s="120">
        <v>100</v>
      </c>
    </row>
    <row r="14" spans="1:17" s="4" customFormat="1" ht="31.9" customHeight="1" x14ac:dyDescent="0.2">
      <c r="A14" s="26" t="s">
        <v>28</v>
      </c>
      <c r="B14" s="40">
        <v>57037</v>
      </c>
      <c r="C14" s="39">
        <v>33551</v>
      </c>
      <c r="D14" s="38">
        <v>58.8</v>
      </c>
      <c r="E14" s="39">
        <v>44714</v>
      </c>
      <c r="F14" s="39">
        <v>28119</v>
      </c>
      <c r="G14" s="38">
        <v>62.9</v>
      </c>
      <c r="H14" s="39">
        <v>18148</v>
      </c>
      <c r="I14" s="39">
        <v>7727</v>
      </c>
      <c r="J14" s="38">
        <v>42.6</v>
      </c>
      <c r="K14" s="26" t="s">
        <v>28</v>
      </c>
      <c r="L14" s="118">
        <v>5620</v>
      </c>
      <c r="M14" s="116">
        <v>3062</v>
      </c>
      <c r="N14" s="117">
        <v>54.5</v>
      </c>
      <c r="O14" s="116">
        <v>2142</v>
      </c>
      <c r="P14" s="116">
        <v>2142</v>
      </c>
      <c r="Q14" s="115">
        <v>100</v>
      </c>
    </row>
    <row r="15" spans="1:17" s="4" customFormat="1" ht="19.5" customHeight="1" x14ac:dyDescent="0.2">
      <c r="A15" s="97" t="s">
        <v>7</v>
      </c>
      <c r="B15" s="24">
        <v>29641</v>
      </c>
      <c r="C15" s="25">
        <v>23737</v>
      </c>
      <c r="D15" s="28">
        <v>80.099999999999994</v>
      </c>
      <c r="E15" s="25">
        <v>20644</v>
      </c>
      <c r="F15" s="25">
        <v>16633</v>
      </c>
      <c r="G15" s="28">
        <v>80.599999999999994</v>
      </c>
      <c r="H15" s="25">
        <v>9749</v>
      </c>
      <c r="I15" s="25">
        <v>8198</v>
      </c>
      <c r="J15" s="28">
        <v>84.1</v>
      </c>
      <c r="K15" s="97" t="s">
        <v>7</v>
      </c>
      <c r="L15" s="124">
        <v>2135</v>
      </c>
      <c r="M15" s="124">
        <v>1714</v>
      </c>
      <c r="N15" s="122">
        <v>80.3</v>
      </c>
      <c r="O15" s="124">
        <v>592</v>
      </c>
      <c r="P15" s="124">
        <v>592</v>
      </c>
      <c r="Q15" s="120">
        <v>100</v>
      </c>
    </row>
    <row r="16" spans="1:17" s="4" customFormat="1" ht="19.5" customHeight="1" x14ac:dyDescent="0.2">
      <c r="A16" s="97" t="s">
        <v>8</v>
      </c>
      <c r="B16" s="24">
        <v>13364</v>
      </c>
      <c r="C16" s="25">
        <v>8682</v>
      </c>
      <c r="D16" s="28">
        <v>65</v>
      </c>
      <c r="E16" s="25">
        <v>10779</v>
      </c>
      <c r="F16" s="25">
        <v>5462</v>
      </c>
      <c r="G16" s="28">
        <v>50.7</v>
      </c>
      <c r="H16" s="25">
        <v>5159</v>
      </c>
      <c r="I16" s="25">
        <v>1786</v>
      </c>
      <c r="J16" s="28">
        <v>34.6</v>
      </c>
      <c r="K16" s="97" t="s">
        <v>8</v>
      </c>
      <c r="L16" s="124">
        <v>1294</v>
      </c>
      <c r="M16" s="124">
        <v>1002</v>
      </c>
      <c r="N16" s="122">
        <v>77.400000000000006</v>
      </c>
      <c r="O16" s="124">
        <v>537</v>
      </c>
      <c r="P16" s="124">
        <v>537</v>
      </c>
      <c r="Q16" s="120">
        <v>100</v>
      </c>
    </row>
    <row r="17" spans="1:20" s="4" customFormat="1" ht="14.25" customHeight="1" x14ac:dyDescent="0.2">
      <c r="A17" s="97" t="s">
        <v>23</v>
      </c>
      <c r="B17" s="24">
        <v>10232</v>
      </c>
      <c r="C17" s="25">
        <v>6656</v>
      </c>
      <c r="D17" s="28">
        <v>65.099999999999994</v>
      </c>
      <c r="E17" s="25">
        <v>8474</v>
      </c>
      <c r="F17" s="25">
        <v>3916</v>
      </c>
      <c r="G17" s="28">
        <v>46.2</v>
      </c>
      <c r="H17" s="25">
        <v>3355</v>
      </c>
      <c r="I17" s="25">
        <v>1588</v>
      </c>
      <c r="J17" s="28">
        <v>47.3</v>
      </c>
      <c r="K17" s="97" t="s">
        <v>23</v>
      </c>
      <c r="L17" s="124">
        <v>1335</v>
      </c>
      <c r="M17" s="124">
        <v>1045</v>
      </c>
      <c r="N17" s="122">
        <v>78.3</v>
      </c>
      <c r="O17" s="124">
        <v>190</v>
      </c>
      <c r="P17" s="124">
        <v>190</v>
      </c>
      <c r="Q17" s="120">
        <v>100</v>
      </c>
    </row>
    <row r="18" spans="1:20" s="4" customFormat="1" ht="14.25" customHeight="1" x14ac:dyDescent="0.2">
      <c r="A18" s="97" t="s">
        <v>9</v>
      </c>
      <c r="B18" s="24">
        <v>10084</v>
      </c>
      <c r="C18" s="25">
        <v>5947</v>
      </c>
      <c r="D18" s="28">
        <v>59</v>
      </c>
      <c r="E18" s="25">
        <v>8276</v>
      </c>
      <c r="F18" s="25">
        <v>3164</v>
      </c>
      <c r="G18" s="28">
        <v>38.200000000000003</v>
      </c>
      <c r="H18" s="25">
        <v>3147</v>
      </c>
      <c r="I18" s="25">
        <v>2183</v>
      </c>
      <c r="J18" s="28">
        <v>69.400000000000006</v>
      </c>
      <c r="K18" s="97" t="s">
        <v>9</v>
      </c>
      <c r="L18" s="124">
        <v>892</v>
      </c>
      <c r="M18" s="124">
        <v>270</v>
      </c>
      <c r="N18" s="122">
        <v>30.3</v>
      </c>
      <c r="O18" s="124">
        <v>333</v>
      </c>
      <c r="P18" s="124">
        <v>333</v>
      </c>
      <c r="Q18" s="120">
        <v>100</v>
      </c>
    </row>
    <row r="19" spans="1:20" s="4" customFormat="1" ht="24" customHeight="1" x14ac:dyDescent="0.2">
      <c r="A19" s="96" t="s">
        <v>24</v>
      </c>
      <c r="B19" s="24">
        <v>10488</v>
      </c>
      <c r="C19" s="25">
        <v>7456</v>
      </c>
      <c r="D19" s="28">
        <v>71.099999999999994</v>
      </c>
      <c r="E19" s="25">
        <v>8948</v>
      </c>
      <c r="F19" s="25">
        <v>6218</v>
      </c>
      <c r="G19" s="28">
        <v>69.5</v>
      </c>
      <c r="H19" s="25">
        <v>4141</v>
      </c>
      <c r="I19" s="25">
        <v>1818</v>
      </c>
      <c r="J19" s="28">
        <v>43.9</v>
      </c>
      <c r="K19" s="96" t="s">
        <v>24</v>
      </c>
      <c r="L19" s="124">
        <v>1134</v>
      </c>
      <c r="M19" s="124">
        <v>613</v>
      </c>
      <c r="N19" s="122">
        <v>54.1</v>
      </c>
      <c r="O19" s="124">
        <v>663</v>
      </c>
      <c r="P19" s="124">
        <v>663</v>
      </c>
      <c r="Q19" s="120">
        <v>100</v>
      </c>
    </row>
    <row r="20" spans="1:20" s="4" customFormat="1" ht="31.9" customHeight="1" x14ac:dyDescent="0.2">
      <c r="A20" s="119" t="s">
        <v>29</v>
      </c>
      <c r="B20" s="40">
        <v>73809</v>
      </c>
      <c r="C20" s="39">
        <v>52478</v>
      </c>
      <c r="D20" s="38">
        <v>71.099999999999994</v>
      </c>
      <c r="E20" s="39">
        <v>57121</v>
      </c>
      <c r="F20" s="39">
        <v>35393</v>
      </c>
      <c r="G20" s="38">
        <v>62</v>
      </c>
      <c r="H20" s="39">
        <v>25551</v>
      </c>
      <c r="I20" s="39">
        <v>15573</v>
      </c>
      <c r="J20" s="38">
        <v>60.9</v>
      </c>
      <c r="K20" s="119" t="s">
        <v>29</v>
      </c>
      <c r="L20" s="118">
        <v>6790</v>
      </c>
      <c r="M20" s="116">
        <v>4644</v>
      </c>
      <c r="N20" s="117">
        <v>68.400000000000006</v>
      </c>
      <c r="O20" s="116">
        <v>2315</v>
      </c>
      <c r="P20" s="116">
        <v>2315</v>
      </c>
      <c r="Q20" s="115">
        <v>100</v>
      </c>
    </row>
    <row r="21" spans="1:20" s="4" customFormat="1" ht="19.5" customHeight="1" x14ac:dyDescent="0.2">
      <c r="A21" s="91" t="s">
        <v>10</v>
      </c>
      <c r="B21" s="24">
        <v>25107</v>
      </c>
      <c r="C21" s="25">
        <v>16470</v>
      </c>
      <c r="D21" s="28">
        <v>65.599999999999994</v>
      </c>
      <c r="E21" s="25">
        <v>16742</v>
      </c>
      <c r="F21" s="25">
        <v>10427</v>
      </c>
      <c r="G21" s="28">
        <v>62.3</v>
      </c>
      <c r="H21" s="25">
        <v>5749</v>
      </c>
      <c r="I21" s="25">
        <v>3852</v>
      </c>
      <c r="J21" s="28">
        <v>67</v>
      </c>
      <c r="K21" s="91" t="s">
        <v>10</v>
      </c>
      <c r="L21" s="123">
        <v>2005</v>
      </c>
      <c r="M21" s="121">
        <v>1449</v>
      </c>
      <c r="N21" s="122">
        <v>72.3</v>
      </c>
      <c r="O21" s="121">
        <v>1492</v>
      </c>
      <c r="P21" s="121">
        <v>1492</v>
      </c>
      <c r="Q21" s="120">
        <v>100</v>
      </c>
    </row>
    <row r="22" spans="1:20" s="4" customFormat="1" ht="19.5" customHeight="1" x14ac:dyDescent="0.2">
      <c r="A22" s="91" t="s">
        <v>25</v>
      </c>
      <c r="B22" s="24">
        <v>11614</v>
      </c>
      <c r="C22" s="25">
        <v>6761</v>
      </c>
      <c r="D22" s="28">
        <v>58.2</v>
      </c>
      <c r="E22" s="25">
        <v>8878</v>
      </c>
      <c r="F22" s="25">
        <v>4684</v>
      </c>
      <c r="G22" s="28">
        <v>52.8</v>
      </c>
      <c r="H22" s="25">
        <v>3627</v>
      </c>
      <c r="I22" s="25">
        <v>1532</v>
      </c>
      <c r="J22" s="28">
        <v>42.2</v>
      </c>
      <c r="K22" s="91" t="s">
        <v>25</v>
      </c>
      <c r="L22" s="123">
        <v>663</v>
      </c>
      <c r="M22" s="121">
        <v>184</v>
      </c>
      <c r="N22" s="122">
        <v>27.8</v>
      </c>
      <c r="O22" s="121">
        <v>130</v>
      </c>
      <c r="P22" s="121">
        <v>130</v>
      </c>
      <c r="Q22" s="120">
        <v>100</v>
      </c>
    </row>
    <row r="23" spans="1:20" s="4" customFormat="1" ht="14.25" customHeight="1" x14ac:dyDescent="0.2">
      <c r="A23" s="91" t="s">
        <v>26</v>
      </c>
      <c r="B23" s="24">
        <v>8057</v>
      </c>
      <c r="C23" s="25">
        <v>5891</v>
      </c>
      <c r="D23" s="28">
        <v>73.099999999999994</v>
      </c>
      <c r="E23" s="25">
        <v>6255</v>
      </c>
      <c r="F23" s="25">
        <v>3318</v>
      </c>
      <c r="G23" s="28">
        <v>53</v>
      </c>
      <c r="H23" s="25">
        <v>2281</v>
      </c>
      <c r="I23" s="25">
        <v>1387</v>
      </c>
      <c r="J23" s="28">
        <v>60.8</v>
      </c>
      <c r="K23" s="91" t="s">
        <v>26</v>
      </c>
      <c r="L23" s="123">
        <v>689</v>
      </c>
      <c r="M23" s="121">
        <v>267</v>
      </c>
      <c r="N23" s="122">
        <v>38.799999999999997</v>
      </c>
      <c r="O23" s="121">
        <v>163</v>
      </c>
      <c r="P23" s="121">
        <v>163</v>
      </c>
      <c r="Q23" s="120">
        <v>100</v>
      </c>
    </row>
    <row r="24" spans="1:20" s="4" customFormat="1" ht="31.9" customHeight="1" x14ac:dyDescent="0.2">
      <c r="A24" s="119" t="s">
        <v>30</v>
      </c>
      <c r="B24" s="40">
        <v>44778</v>
      </c>
      <c r="C24" s="39">
        <v>29122</v>
      </c>
      <c r="D24" s="38">
        <v>65</v>
      </c>
      <c r="E24" s="39">
        <v>31875</v>
      </c>
      <c r="F24" s="39">
        <v>18429</v>
      </c>
      <c r="G24" s="38">
        <v>57.8</v>
      </c>
      <c r="H24" s="39">
        <v>11657</v>
      </c>
      <c r="I24" s="39">
        <v>6771</v>
      </c>
      <c r="J24" s="38">
        <v>58.1</v>
      </c>
      <c r="K24" s="119" t="s">
        <v>30</v>
      </c>
      <c r="L24" s="118">
        <v>3357</v>
      </c>
      <c r="M24" s="116">
        <v>1900</v>
      </c>
      <c r="N24" s="117">
        <v>56.6</v>
      </c>
      <c r="O24" s="116">
        <v>1785</v>
      </c>
      <c r="P24" s="116">
        <v>1785</v>
      </c>
      <c r="Q24" s="115">
        <v>100</v>
      </c>
    </row>
    <row r="25" spans="1:20" s="4" customFormat="1" ht="28.5" customHeight="1" x14ac:dyDescent="0.2">
      <c r="A25" s="82" t="s">
        <v>11</v>
      </c>
      <c r="B25" s="40">
        <v>175624</v>
      </c>
      <c r="C25" s="39">
        <v>115151</v>
      </c>
      <c r="D25" s="38">
        <v>65.599999999999994</v>
      </c>
      <c r="E25" s="39">
        <v>133710</v>
      </c>
      <c r="F25" s="39">
        <v>81941</v>
      </c>
      <c r="G25" s="38">
        <v>61.3</v>
      </c>
      <c r="H25" s="39">
        <v>55356</v>
      </c>
      <c r="I25" s="39">
        <v>30071</v>
      </c>
      <c r="J25" s="38">
        <v>54.3</v>
      </c>
      <c r="K25" s="82" t="s">
        <v>11</v>
      </c>
      <c r="L25" s="118">
        <v>15767</v>
      </c>
      <c r="M25" s="116">
        <v>9606</v>
      </c>
      <c r="N25" s="117">
        <v>60.9</v>
      </c>
      <c r="O25" s="116">
        <v>6242</v>
      </c>
      <c r="P25" s="116">
        <v>6242</v>
      </c>
      <c r="Q25" s="115">
        <v>100</v>
      </c>
    </row>
    <row r="26" spans="1:20" ht="12.75" customHeight="1" x14ac:dyDescent="0.2">
      <c r="A26" s="9"/>
      <c r="B26" s="13"/>
      <c r="C26" s="13"/>
      <c r="D26" s="14"/>
      <c r="E26" s="13"/>
      <c r="F26" s="13"/>
      <c r="G26" s="12"/>
      <c r="H26" s="13"/>
      <c r="I26" s="13"/>
      <c r="J26" s="15"/>
      <c r="K26" s="9"/>
      <c r="L26" s="13"/>
      <c r="M26" s="13"/>
      <c r="N26" s="10"/>
      <c r="Q26" s="35"/>
    </row>
    <row r="27" spans="1:20" ht="12.75" customHeight="1" x14ac:dyDescent="0.2">
      <c r="A27" s="1" t="s">
        <v>12</v>
      </c>
      <c r="J27" s="11"/>
      <c r="K27" s="1" t="s">
        <v>12</v>
      </c>
    </row>
    <row r="28" spans="1:20" ht="21.4" customHeight="1" x14ac:dyDescent="0.2">
      <c r="A28" s="174" t="s">
        <v>31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 t="s">
        <v>31</v>
      </c>
      <c r="L28" s="174"/>
      <c r="M28" s="174"/>
      <c r="N28" s="174"/>
      <c r="O28" s="174"/>
      <c r="P28" s="174"/>
      <c r="Q28" s="174"/>
      <c r="R28" s="114"/>
      <c r="S28" s="114"/>
      <c r="T28" s="114"/>
    </row>
    <row r="29" spans="1:20" ht="10.5" customHeight="1" x14ac:dyDescent="0.2">
      <c r="A29" s="4" t="s">
        <v>3</v>
      </c>
      <c r="G29" s="113"/>
      <c r="H29" s="112"/>
      <c r="I29" s="112"/>
      <c r="J29" s="4"/>
      <c r="K29" s="4" t="s">
        <v>3</v>
      </c>
      <c r="L29" s="4"/>
      <c r="M29" s="4"/>
      <c r="N29" s="111"/>
    </row>
    <row r="30" spans="1:20" ht="10.5" customHeight="1" x14ac:dyDescent="0.2">
      <c r="A30" s="4" t="s">
        <v>13</v>
      </c>
      <c r="G30" s="4"/>
      <c r="H30" s="4"/>
      <c r="I30" s="4"/>
      <c r="J30" s="4"/>
      <c r="K30" s="4" t="s">
        <v>13</v>
      </c>
      <c r="L30" s="4"/>
      <c r="M30" s="4"/>
      <c r="N30" s="111"/>
    </row>
    <row r="31" spans="1:20" ht="10.5" customHeight="1" x14ac:dyDescent="0.2">
      <c r="A31" s="4" t="s">
        <v>4</v>
      </c>
      <c r="H31" s="4"/>
      <c r="I31" s="4"/>
      <c r="J31" s="4"/>
      <c r="K31" s="4" t="s">
        <v>4</v>
      </c>
      <c r="L31" s="4"/>
      <c r="M31" s="4"/>
      <c r="N31" s="111"/>
    </row>
    <row r="32" spans="1:20" x14ac:dyDescent="0.2">
      <c r="Q32" t="s">
        <v>27</v>
      </c>
    </row>
  </sheetData>
  <mergeCells count="11">
    <mergeCell ref="H7:J7"/>
    <mergeCell ref="L7:N7"/>
    <mergeCell ref="O7:Q7"/>
    <mergeCell ref="A28:J28"/>
    <mergeCell ref="K28:Q28"/>
    <mergeCell ref="A6:A8"/>
    <mergeCell ref="B6:J6"/>
    <mergeCell ref="K6:K8"/>
    <mergeCell ref="L6:Q6"/>
    <mergeCell ref="B7:D7"/>
    <mergeCell ref="E7:G7"/>
  </mergeCells>
  <pageMargins left="0.78740157480314965" right="0.78740157480314965" top="0.98425196850393704" bottom="0.98425196850393704" header="0.51181102362204722" footer="0.51181102362204722"/>
  <pageSetup paperSize="9" orientation="portrait" useFirstPageNumber="1" horizontalDpi="4294967292" verticalDpi="4294967292" r:id="rId1"/>
  <headerFooter alignWithMargins="0">
    <oddHeader>&amp;C&amp;"Optimum,Fett"&amp;9&amp;P</oddHeader>
    <oddFooter>&amp;C&amp;7© Statistisches Landesamt des Freistaates Sachsen  -  Z III 1 - j/19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32"/>
  <sheetViews>
    <sheetView zoomScaleNormal="100" zoomScaleSheetLayoutView="100" workbookViewId="0"/>
  </sheetViews>
  <sheetFormatPr baseColWidth="10" defaultColWidth="13.85546875" defaultRowHeight="12.75" x14ac:dyDescent="0.2"/>
  <cols>
    <col min="1" max="1" width="17.85546875" style="1" customWidth="1"/>
    <col min="2" max="2" width="8.140625" style="1" customWidth="1"/>
    <col min="3" max="3" width="8.7109375" style="1" customWidth="1"/>
    <col min="4" max="4" width="6.28515625" style="1" customWidth="1"/>
    <col min="5" max="5" width="8.7109375" style="1" customWidth="1"/>
    <col min="6" max="6" width="8.5703125" style="1" customWidth="1"/>
    <col min="7" max="7" width="6" style="1" customWidth="1"/>
    <col min="8" max="9" width="6.28515625" style="1" customWidth="1"/>
    <col min="10" max="10" width="5.85546875" style="1" customWidth="1"/>
    <col min="11" max="11" width="20.85546875" style="1" customWidth="1"/>
    <col min="12" max="13" width="11" customWidth="1"/>
    <col min="14" max="14" width="11" style="17" customWidth="1"/>
    <col min="15" max="17" width="11" customWidth="1"/>
  </cols>
  <sheetData>
    <row r="1" spans="1:17" ht="12.4" customHeight="1" x14ac:dyDescent="0.2"/>
    <row r="2" spans="1:17" ht="12.4" customHeight="1" x14ac:dyDescent="0.2"/>
    <row r="3" spans="1:17" ht="12.4" customHeight="1" x14ac:dyDescent="0.2"/>
    <row r="4" spans="1:17" ht="12.4" customHeight="1" x14ac:dyDescent="0.2">
      <c r="A4" s="2"/>
      <c r="B4" s="2"/>
      <c r="C4" s="2"/>
      <c r="D4" s="2"/>
      <c r="E4" s="2"/>
      <c r="F4" s="2"/>
      <c r="K4" s="2"/>
    </row>
    <row r="5" spans="1:17" ht="12.4" customHeight="1" x14ac:dyDescent="0.2">
      <c r="A5" s="3"/>
      <c r="B5" s="3"/>
      <c r="C5" s="3"/>
      <c r="D5" s="3"/>
      <c r="E5" s="3"/>
      <c r="F5" s="3"/>
      <c r="K5" s="3"/>
    </row>
    <row r="6" spans="1:17" s="4" customFormat="1" ht="20.100000000000001" customHeight="1" x14ac:dyDescent="0.2">
      <c r="A6" s="177" t="s">
        <v>32</v>
      </c>
      <c r="B6" s="175" t="s">
        <v>16</v>
      </c>
      <c r="C6" s="176"/>
      <c r="D6" s="176"/>
      <c r="E6" s="176"/>
      <c r="F6" s="176"/>
      <c r="G6" s="176"/>
      <c r="H6" s="176"/>
      <c r="I6" s="176"/>
      <c r="J6" s="176"/>
      <c r="K6" s="177" t="s">
        <v>32</v>
      </c>
      <c r="L6" s="175" t="s">
        <v>16</v>
      </c>
      <c r="M6" s="176"/>
      <c r="N6" s="176"/>
      <c r="O6" s="176"/>
      <c r="P6" s="176"/>
      <c r="Q6" s="176"/>
    </row>
    <row r="7" spans="1:17" s="4" customFormat="1" ht="25.5" customHeight="1" x14ac:dyDescent="0.2">
      <c r="A7" s="178"/>
      <c r="B7" s="182" t="s">
        <v>0</v>
      </c>
      <c r="C7" s="183"/>
      <c r="D7" s="184"/>
      <c r="E7" s="181" t="s">
        <v>1</v>
      </c>
      <c r="F7" s="180"/>
      <c r="G7" s="179"/>
      <c r="H7" s="181" t="s">
        <v>14</v>
      </c>
      <c r="I7" s="180"/>
      <c r="J7" s="180"/>
      <c r="K7" s="178"/>
      <c r="L7" s="180" t="s">
        <v>15</v>
      </c>
      <c r="M7" s="180"/>
      <c r="N7" s="179"/>
      <c r="O7" s="175" t="s">
        <v>19</v>
      </c>
      <c r="P7" s="176"/>
      <c r="Q7" s="176"/>
    </row>
    <row r="8" spans="1:17" s="4" customFormat="1" ht="31.9" customHeight="1" x14ac:dyDescent="0.2">
      <c r="A8" s="179"/>
      <c r="B8" s="19" t="s">
        <v>18</v>
      </c>
      <c r="C8" s="125" t="s">
        <v>17</v>
      </c>
      <c r="D8" s="29" t="s">
        <v>2</v>
      </c>
      <c r="E8" s="19" t="s">
        <v>18</v>
      </c>
      <c r="F8" s="125" t="s">
        <v>17</v>
      </c>
      <c r="G8" s="16" t="s">
        <v>2</v>
      </c>
      <c r="H8" s="19" t="s">
        <v>18</v>
      </c>
      <c r="I8" s="125" t="s">
        <v>17</v>
      </c>
      <c r="J8" s="20" t="s">
        <v>2</v>
      </c>
      <c r="K8" s="179"/>
      <c r="L8" s="125" t="s">
        <v>18</v>
      </c>
      <c r="M8" s="125" t="s">
        <v>17</v>
      </c>
      <c r="N8" s="21" t="s">
        <v>2</v>
      </c>
      <c r="O8" s="19" t="s">
        <v>18</v>
      </c>
      <c r="P8" s="125" t="s">
        <v>17</v>
      </c>
      <c r="Q8" s="30" t="s">
        <v>2</v>
      </c>
    </row>
    <row r="9" spans="1:17" s="4" customFormat="1" ht="21.4" customHeight="1" x14ac:dyDescent="0.2">
      <c r="A9" s="99" t="s">
        <v>5</v>
      </c>
      <c r="B9" s="22">
        <v>8598</v>
      </c>
      <c r="C9" s="23">
        <v>2966</v>
      </c>
      <c r="D9" s="28">
        <v>34.496000000000002</v>
      </c>
      <c r="E9" s="23">
        <v>5635</v>
      </c>
      <c r="F9" s="23">
        <v>1305</v>
      </c>
      <c r="G9" s="28">
        <v>23.158999999999999</v>
      </c>
      <c r="H9" s="23">
        <v>1731</v>
      </c>
      <c r="I9" s="23">
        <v>86</v>
      </c>
      <c r="J9" s="127">
        <v>4.968</v>
      </c>
      <c r="K9" s="99" t="s">
        <v>5</v>
      </c>
      <c r="L9" s="124">
        <v>797</v>
      </c>
      <c r="M9" s="124">
        <v>126</v>
      </c>
      <c r="N9" s="122">
        <v>15.808999999999999</v>
      </c>
      <c r="O9" s="124">
        <v>800</v>
      </c>
      <c r="P9" s="124">
        <v>800</v>
      </c>
      <c r="Q9" s="120">
        <v>100</v>
      </c>
    </row>
    <row r="10" spans="1:17" s="4" customFormat="1" ht="19.5" customHeight="1" x14ac:dyDescent="0.2">
      <c r="A10" s="97" t="s">
        <v>20</v>
      </c>
      <c r="B10" s="24">
        <v>12925</v>
      </c>
      <c r="C10" s="25">
        <v>3908</v>
      </c>
      <c r="D10" s="28">
        <v>30.236000000000001</v>
      </c>
      <c r="E10" s="25">
        <v>11135</v>
      </c>
      <c r="F10" s="25">
        <v>1835</v>
      </c>
      <c r="G10" s="28">
        <v>16.48</v>
      </c>
      <c r="H10" s="25">
        <v>4046</v>
      </c>
      <c r="I10" s="25">
        <v>505</v>
      </c>
      <c r="J10" s="127">
        <v>12.481</v>
      </c>
      <c r="K10" s="97" t="s">
        <v>20</v>
      </c>
      <c r="L10" s="124">
        <v>1022</v>
      </c>
      <c r="M10" s="124">
        <v>76</v>
      </c>
      <c r="N10" s="122">
        <v>7.4359999999999999</v>
      </c>
      <c r="O10" s="124">
        <v>567</v>
      </c>
      <c r="P10" s="124">
        <v>567</v>
      </c>
      <c r="Q10" s="120">
        <v>100</v>
      </c>
    </row>
    <row r="11" spans="1:17" s="4" customFormat="1" ht="14.25" customHeight="1" x14ac:dyDescent="0.2">
      <c r="A11" s="97" t="s">
        <v>21</v>
      </c>
      <c r="B11" s="24">
        <v>13233</v>
      </c>
      <c r="C11" s="25">
        <v>3152</v>
      </c>
      <c r="D11" s="28">
        <v>23.818999999999999</v>
      </c>
      <c r="E11" s="25">
        <v>9723</v>
      </c>
      <c r="F11" s="25">
        <v>1119</v>
      </c>
      <c r="G11" s="28">
        <v>11.509</v>
      </c>
      <c r="H11" s="25">
        <v>3778</v>
      </c>
      <c r="I11" s="25">
        <v>396</v>
      </c>
      <c r="J11" s="127">
        <v>10.481999999999999</v>
      </c>
      <c r="K11" s="97" t="s">
        <v>21</v>
      </c>
      <c r="L11" s="124">
        <v>1417</v>
      </c>
      <c r="M11" s="124">
        <v>61</v>
      </c>
      <c r="N11" s="122">
        <v>4.3049999999999997</v>
      </c>
      <c r="O11" s="124">
        <v>405</v>
      </c>
      <c r="P11" s="124">
        <v>405</v>
      </c>
      <c r="Q11" s="120">
        <v>100</v>
      </c>
    </row>
    <row r="12" spans="1:17" s="4" customFormat="1" ht="14.25" customHeight="1" x14ac:dyDescent="0.2">
      <c r="A12" s="97" t="s">
        <v>6</v>
      </c>
      <c r="B12" s="24">
        <v>8256</v>
      </c>
      <c r="C12" s="25">
        <v>3346</v>
      </c>
      <c r="D12" s="28">
        <v>40.527999999999999</v>
      </c>
      <c r="E12" s="25">
        <v>7337</v>
      </c>
      <c r="F12" s="25">
        <v>1077</v>
      </c>
      <c r="G12" s="28">
        <v>14.679</v>
      </c>
      <c r="H12" s="25">
        <v>3079</v>
      </c>
      <c r="I12" s="128" t="s">
        <v>34</v>
      </c>
      <c r="J12" s="127" t="s">
        <v>34</v>
      </c>
      <c r="K12" s="97" t="s">
        <v>6</v>
      </c>
      <c r="L12" s="124">
        <v>796</v>
      </c>
      <c r="M12" s="124">
        <v>186</v>
      </c>
      <c r="N12" s="122">
        <v>23.367000000000001</v>
      </c>
      <c r="O12" s="124">
        <v>61</v>
      </c>
      <c r="P12" s="124">
        <v>61</v>
      </c>
      <c r="Q12" s="120">
        <v>100</v>
      </c>
    </row>
    <row r="13" spans="1:17" s="4" customFormat="1" ht="14.25" customHeight="1" x14ac:dyDescent="0.2">
      <c r="A13" s="97" t="s">
        <v>22</v>
      </c>
      <c r="B13" s="24">
        <v>12859</v>
      </c>
      <c r="C13" s="25">
        <v>4357</v>
      </c>
      <c r="D13" s="28">
        <v>33.883000000000003</v>
      </c>
      <c r="E13" s="25">
        <v>10353</v>
      </c>
      <c r="F13" s="25">
        <v>1013</v>
      </c>
      <c r="G13" s="28">
        <v>9.7850000000000001</v>
      </c>
      <c r="H13" s="25">
        <v>4647</v>
      </c>
      <c r="I13" s="25">
        <v>561</v>
      </c>
      <c r="J13" s="127">
        <v>12.071999999999999</v>
      </c>
      <c r="K13" s="97" t="s">
        <v>22</v>
      </c>
      <c r="L13" s="124">
        <v>1352</v>
      </c>
      <c r="M13" s="124">
        <v>61</v>
      </c>
      <c r="N13" s="122">
        <v>4.5119999999999996</v>
      </c>
      <c r="O13" s="124">
        <v>309</v>
      </c>
      <c r="P13" s="124">
        <v>309</v>
      </c>
      <c r="Q13" s="120">
        <v>100</v>
      </c>
    </row>
    <row r="14" spans="1:17" s="4" customFormat="1" ht="31.9" customHeight="1" x14ac:dyDescent="0.2">
      <c r="A14" s="26" t="s">
        <v>28</v>
      </c>
      <c r="B14" s="40">
        <v>55871</v>
      </c>
      <c r="C14" s="39">
        <v>17729</v>
      </c>
      <c r="D14" s="38">
        <v>31.731999999999999</v>
      </c>
      <c r="E14" s="39">
        <v>44183</v>
      </c>
      <c r="F14" s="39">
        <v>6349</v>
      </c>
      <c r="G14" s="38">
        <v>14.37</v>
      </c>
      <c r="H14" s="39">
        <v>17281</v>
      </c>
      <c r="I14" s="39">
        <v>1548</v>
      </c>
      <c r="J14" s="126">
        <v>8.9580000000000002</v>
      </c>
      <c r="K14" s="26" t="s">
        <v>28</v>
      </c>
      <c r="L14" s="118">
        <v>5384</v>
      </c>
      <c r="M14" s="116">
        <v>510</v>
      </c>
      <c r="N14" s="117">
        <v>9.4730000000000008</v>
      </c>
      <c r="O14" s="116">
        <v>2142</v>
      </c>
      <c r="P14" s="116">
        <v>2142</v>
      </c>
      <c r="Q14" s="115">
        <v>100</v>
      </c>
    </row>
    <row r="15" spans="1:17" s="4" customFormat="1" ht="19.5" customHeight="1" x14ac:dyDescent="0.2">
      <c r="A15" s="97" t="s">
        <v>7</v>
      </c>
      <c r="B15" s="24">
        <v>30008</v>
      </c>
      <c r="C15" s="25">
        <v>22075</v>
      </c>
      <c r="D15" s="28">
        <v>73.563999999999993</v>
      </c>
      <c r="E15" s="25">
        <v>20610</v>
      </c>
      <c r="F15" s="25">
        <v>7054</v>
      </c>
      <c r="G15" s="28">
        <v>34.225999999999999</v>
      </c>
      <c r="H15" s="25">
        <v>9847</v>
      </c>
      <c r="I15" s="25">
        <v>1780</v>
      </c>
      <c r="J15" s="127">
        <v>18.077000000000002</v>
      </c>
      <c r="K15" s="97" t="s">
        <v>7</v>
      </c>
      <c r="L15" s="124">
        <v>2106</v>
      </c>
      <c r="M15" s="124">
        <v>582</v>
      </c>
      <c r="N15" s="122">
        <v>27.635000000000002</v>
      </c>
      <c r="O15" s="124">
        <v>592</v>
      </c>
      <c r="P15" s="124">
        <v>592</v>
      </c>
      <c r="Q15" s="120">
        <v>100</v>
      </c>
    </row>
    <row r="16" spans="1:17" s="4" customFormat="1" ht="19.5" customHeight="1" x14ac:dyDescent="0.2">
      <c r="A16" s="97" t="s">
        <v>8</v>
      </c>
      <c r="B16" s="24">
        <v>13174</v>
      </c>
      <c r="C16" s="25">
        <v>5606</v>
      </c>
      <c r="D16" s="28">
        <v>42.554000000000002</v>
      </c>
      <c r="E16" s="25">
        <v>10826</v>
      </c>
      <c r="F16" s="25">
        <v>3371</v>
      </c>
      <c r="G16" s="28">
        <v>31.138000000000002</v>
      </c>
      <c r="H16" s="25">
        <v>5299</v>
      </c>
      <c r="I16" s="25">
        <v>843</v>
      </c>
      <c r="J16" s="127">
        <v>15.909000000000001</v>
      </c>
      <c r="K16" s="97" t="s">
        <v>8</v>
      </c>
      <c r="L16" s="124">
        <v>1378</v>
      </c>
      <c r="M16" s="124">
        <v>681</v>
      </c>
      <c r="N16" s="122">
        <v>49.418999999999997</v>
      </c>
      <c r="O16" s="124">
        <v>537</v>
      </c>
      <c r="P16" s="124">
        <v>537</v>
      </c>
      <c r="Q16" s="120">
        <v>100</v>
      </c>
    </row>
    <row r="17" spans="1:20" s="4" customFormat="1" ht="14.25" customHeight="1" x14ac:dyDescent="0.2">
      <c r="A17" s="97" t="s">
        <v>23</v>
      </c>
      <c r="B17" s="24">
        <v>10148</v>
      </c>
      <c r="C17" s="25">
        <v>3890</v>
      </c>
      <c r="D17" s="28">
        <v>38.332999999999998</v>
      </c>
      <c r="E17" s="25">
        <v>8381</v>
      </c>
      <c r="F17" s="25">
        <v>1575</v>
      </c>
      <c r="G17" s="28">
        <v>18.792999999999999</v>
      </c>
      <c r="H17" s="25">
        <v>3238</v>
      </c>
      <c r="I17" s="25">
        <v>249</v>
      </c>
      <c r="J17" s="127">
        <v>7.69</v>
      </c>
      <c r="K17" s="97" t="s">
        <v>23</v>
      </c>
      <c r="L17" s="124">
        <v>1359</v>
      </c>
      <c r="M17" s="124">
        <v>585</v>
      </c>
      <c r="N17" s="122">
        <v>43.045999999999999</v>
      </c>
      <c r="O17" s="124">
        <v>200</v>
      </c>
      <c r="P17" s="124">
        <v>200</v>
      </c>
      <c r="Q17" s="120">
        <v>100</v>
      </c>
    </row>
    <row r="18" spans="1:20" s="4" customFormat="1" ht="14.25" customHeight="1" x14ac:dyDescent="0.2">
      <c r="A18" s="97" t="s">
        <v>9</v>
      </c>
      <c r="B18" s="24">
        <v>10432</v>
      </c>
      <c r="C18" s="25">
        <v>4315</v>
      </c>
      <c r="D18" s="28">
        <v>41.363</v>
      </c>
      <c r="E18" s="25">
        <v>7722</v>
      </c>
      <c r="F18" s="25">
        <v>934</v>
      </c>
      <c r="G18" s="28">
        <v>12.095000000000001</v>
      </c>
      <c r="H18" s="25">
        <v>3402</v>
      </c>
      <c r="I18" s="25">
        <v>534</v>
      </c>
      <c r="J18" s="127">
        <v>15.696999999999999</v>
      </c>
      <c r="K18" s="97" t="s">
        <v>9</v>
      </c>
      <c r="L18" s="124">
        <v>830</v>
      </c>
      <c r="M18" s="124" t="s">
        <v>34</v>
      </c>
      <c r="N18" s="122" t="s">
        <v>34</v>
      </c>
      <c r="O18" s="124">
        <v>333</v>
      </c>
      <c r="P18" s="124">
        <v>333</v>
      </c>
      <c r="Q18" s="120">
        <v>100</v>
      </c>
    </row>
    <row r="19" spans="1:20" s="4" customFormat="1" ht="24" customHeight="1" x14ac:dyDescent="0.2">
      <c r="A19" s="96" t="s">
        <v>24</v>
      </c>
      <c r="B19" s="24">
        <v>10907</v>
      </c>
      <c r="C19" s="25">
        <v>4846</v>
      </c>
      <c r="D19" s="28">
        <v>44.43</v>
      </c>
      <c r="E19" s="25">
        <v>9151</v>
      </c>
      <c r="F19" s="25">
        <v>2956</v>
      </c>
      <c r="G19" s="28">
        <v>32.302</v>
      </c>
      <c r="H19" s="25">
        <v>3760</v>
      </c>
      <c r="I19" s="25">
        <v>901</v>
      </c>
      <c r="J19" s="127">
        <v>23.963000000000001</v>
      </c>
      <c r="K19" s="96" t="s">
        <v>24</v>
      </c>
      <c r="L19" s="124">
        <v>1144</v>
      </c>
      <c r="M19" s="124">
        <v>347</v>
      </c>
      <c r="N19" s="122">
        <v>30.332000000000001</v>
      </c>
      <c r="O19" s="124">
        <v>678</v>
      </c>
      <c r="P19" s="124">
        <v>678</v>
      </c>
      <c r="Q19" s="120">
        <v>100</v>
      </c>
    </row>
    <row r="20" spans="1:20" s="4" customFormat="1" ht="31.9" customHeight="1" x14ac:dyDescent="0.2">
      <c r="A20" s="119" t="s">
        <v>29</v>
      </c>
      <c r="B20" s="40">
        <v>74669</v>
      </c>
      <c r="C20" s="39">
        <v>40732</v>
      </c>
      <c r="D20" s="38">
        <v>54.55</v>
      </c>
      <c r="E20" s="39">
        <v>56690</v>
      </c>
      <c r="F20" s="39">
        <v>15890</v>
      </c>
      <c r="G20" s="38">
        <v>28.03</v>
      </c>
      <c r="H20" s="39">
        <v>25546</v>
      </c>
      <c r="I20" s="39">
        <v>4307</v>
      </c>
      <c r="J20" s="126">
        <v>16.86</v>
      </c>
      <c r="K20" s="119" t="s">
        <v>29</v>
      </c>
      <c r="L20" s="118">
        <v>6817</v>
      </c>
      <c r="M20" s="116">
        <v>2195</v>
      </c>
      <c r="N20" s="117">
        <v>32.198999999999998</v>
      </c>
      <c r="O20" s="116">
        <v>2340</v>
      </c>
      <c r="P20" s="116">
        <v>2340</v>
      </c>
      <c r="Q20" s="115">
        <v>100</v>
      </c>
    </row>
    <row r="21" spans="1:20" s="4" customFormat="1" ht="19.5" customHeight="1" x14ac:dyDescent="0.2">
      <c r="A21" s="91" t="s">
        <v>10</v>
      </c>
      <c r="B21" s="24">
        <v>24614</v>
      </c>
      <c r="C21" s="25">
        <v>9619</v>
      </c>
      <c r="D21" s="28">
        <v>39.079000000000001</v>
      </c>
      <c r="E21" s="25">
        <v>16153</v>
      </c>
      <c r="F21" s="25">
        <v>3842</v>
      </c>
      <c r="G21" s="28">
        <v>23.785</v>
      </c>
      <c r="H21" s="25">
        <v>5451</v>
      </c>
      <c r="I21" s="25">
        <v>573</v>
      </c>
      <c r="J21" s="127">
        <v>10.512</v>
      </c>
      <c r="K21" s="91" t="s">
        <v>10</v>
      </c>
      <c r="L21" s="123">
        <v>2223</v>
      </c>
      <c r="M21" s="121" t="s">
        <v>34</v>
      </c>
      <c r="N21" s="122" t="s">
        <v>34</v>
      </c>
      <c r="O21" s="121">
        <v>1492</v>
      </c>
      <c r="P21" s="121">
        <v>1492</v>
      </c>
      <c r="Q21" s="120">
        <v>100</v>
      </c>
    </row>
    <row r="22" spans="1:20" s="4" customFormat="1" ht="19.5" customHeight="1" x14ac:dyDescent="0.2">
      <c r="A22" s="91" t="s">
        <v>25</v>
      </c>
      <c r="B22" s="24">
        <v>11089</v>
      </c>
      <c r="C22" s="25">
        <v>4514</v>
      </c>
      <c r="D22" s="28">
        <v>40.707000000000001</v>
      </c>
      <c r="E22" s="25">
        <v>8681</v>
      </c>
      <c r="F22" s="25">
        <v>1941</v>
      </c>
      <c r="G22" s="28">
        <v>22.359000000000002</v>
      </c>
      <c r="H22" s="25">
        <v>3547</v>
      </c>
      <c r="I22" s="25">
        <v>1120</v>
      </c>
      <c r="J22" s="127">
        <v>31.576000000000001</v>
      </c>
      <c r="K22" s="91" t="s">
        <v>25</v>
      </c>
      <c r="L22" s="123">
        <v>630</v>
      </c>
      <c r="M22" s="121">
        <v>181</v>
      </c>
      <c r="N22" s="122">
        <v>28.73</v>
      </c>
      <c r="O22" s="121">
        <v>130</v>
      </c>
      <c r="P22" s="121">
        <v>130</v>
      </c>
      <c r="Q22" s="120">
        <v>100</v>
      </c>
    </row>
    <row r="23" spans="1:20" s="4" customFormat="1" ht="14.25" customHeight="1" x14ac:dyDescent="0.2">
      <c r="A23" s="91" t="s">
        <v>26</v>
      </c>
      <c r="B23" s="24">
        <v>8316</v>
      </c>
      <c r="C23" s="25">
        <v>2642</v>
      </c>
      <c r="D23" s="28">
        <v>31.77</v>
      </c>
      <c r="E23" s="25">
        <v>6364</v>
      </c>
      <c r="F23" s="25">
        <v>781</v>
      </c>
      <c r="G23" s="28">
        <v>12.272</v>
      </c>
      <c r="H23" s="25">
        <v>2106</v>
      </c>
      <c r="I23" s="25">
        <v>234</v>
      </c>
      <c r="J23" s="127">
        <v>11.111000000000001</v>
      </c>
      <c r="K23" s="91" t="s">
        <v>26</v>
      </c>
      <c r="L23" s="123">
        <v>642</v>
      </c>
      <c r="M23" s="121">
        <v>71</v>
      </c>
      <c r="N23" s="122">
        <v>11.058999999999999</v>
      </c>
      <c r="O23" s="121">
        <v>163</v>
      </c>
      <c r="P23" s="121">
        <v>163</v>
      </c>
      <c r="Q23" s="120">
        <v>100</v>
      </c>
    </row>
    <row r="24" spans="1:20" s="4" customFormat="1" ht="31.9" customHeight="1" x14ac:dyDescent="0.2">
      <c r="A24" s="119" t="s">
        <v>30</v>
      </c>
      <c r="B24" s="40">
        <v>44019</v>
      </c>
      <c r="C24" s="39">
        <v>16775</v>
      </c>
      <c r="D24" s="38">
        <v>38.109000000000002</v>
      </c>
      <c r="E24" s="39">
        <v>31198</v>
      </c>
      <c r="F24" s="39">
        <v>6564</v>
      </c>
      <c r="G24" s="38">
        <v>21.04</v>
      </c>
      <c r="H24" s="39">
        <v>11104</v>
      </c>
      <c r="I24" s="39">
        <v>1927</v>
      </c>
      <c r="J24" s="126">
        <v>17.353999999999999</v>
      </c>
      <c r="K24" s="119" t="s">
        <v>30</v>
      </c>
      <c r="L24" s="118">
        <v>3495</v>
      </c>
      <c r="M24" s="116">
        <v>252</v>
      </c>
      <c r="N24" s="117">
        <v>7.21</v>
      </c>
      <c r="O24" s="116">
        <v>1785</v>
      </c>
      <c r="P24" s="116">
        <v>1785</v>
      </c>
      <c r="Q24" s="115">
        <v>100</v>
      </c>
    </row>
    <row r="25" spans="1:20" s="4" customFormat="1" ht="28.5" customHeight="1" x14ac:dyDescent="0.2">
      <c r="A25" s="82" t="s">
        <v>11</v>
      </c>
      <c r="B25" s="40">
        <v>174559</v>
      </c>
      <c r="C25" s="39">
        <v>75236</v>
      </c>
      <c r="D25" s="38">
        <v>43.100999999999999</v>
      </c>
      <c r="E25" s="39">
        <v>132071</v>
      </c>
      <c r="F25" s="39">
        <v>28803</v>
      </c>
      <c r="G25" s="38">
        <v>21.809000000000001</v>
      </c>
      <c r="H25" s="39">
        <v>53931</v>
      </c>
      <c r="I25" s="39">
        <v>7782</v>
      </c>
      <c r="J25" s="126">
        <v>14.43</v>
      </c>
      <c r="K25" s="82" t="s">
        <v>11</v>
      </c>
      <c r="L25" s="118">
        <v>15696</v>
      </c>
      <c r="M25" s="116">
        <v>2957</v>
      </c>
      <c r="N25" s="117">
        <v>18.838999999999999</v>
      </c>
      <c r="O25" s="116">
        <v>6267</v>
      </c>
      <c r="P25" s="116">
        <v>6267</v>
      </c>
      <c r="Q25" s="115">
        <v>100</v>
      </c>
    </row>
    <row r="26" spans="1:20" ht="12.75" customHeight="1" x14ac:dyDescent="0.2">
      <c r="A26" s="9"/>
      <c r="B26" s="13"/>
      <c r="C26" s="13"/>
      <c r="D26" s="14"/>
      <c r="E26" s="13"/>
      <c r="F26" s="13"/>
      <c r="G26" s="12"/>
      <c r="H26" s="13"/>
      <c r="I26" s="13"/>
      <c r="J26" s="15"/>
      <c r="K26" s="9"/>
      <c r="L26" s="13"/>
      <c r="M26" s="13"/>
      <c r="N26" s="10"/>
      <c r="Q26" s="35"/>
    </row>
    <row r="27" spans="1:20" ht="12.75" customHeight="1" x14ac:dyDescent="0.2">
      <c r="A27" s="1" t="s">
        <v>12</v>
      </c>
      <c r="J27" s="11"/>
      <c r="K27" s="1" t="s">
        <v>12</v>
      </c>
    </row>
    <row r="28" spans="1:20" ht="21.4" customHeight="1" x14ac:dyDescent="0.2">
      <c r="A28" s="174" t="s">
        <v>31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 t="s">
        <v>31</v>
      </c>
      <c r="L28" s="174"/>
      <c r="M28" s="174"/>
      <c r="N28" s="174"/>
      <c r="O28" s="174"/>
      <c r="P28" s="174"/>
      <c r="Q28" s="174"/>
      <c r="R28" s="114"/>
      <c r="S28" s="114"/>
      <c r="T28" s="114"/>
    </row>
    <row r="29" spans="1:20" ht="10.5" customHeight="1" x14ac:dyDescent="0.2">
      <c r="A29" s="4" t="s">
        <v>3</v>
      </c>
      <c r="G29" s="113"/>
      <c r="H29" s="112"/>
      <c r="I29" s="112"/>
      <c r="J29" s="4"/>
      <c r="K29" s="4" t="s">
        <v>3</v>
      </c>
      <c r="L29" s="4"/>
      <c r="M29" s="4"/>
      <c r="N29" s="111"/>
    </row>
    <row r="30" spans="1:20" ht="10.5" customHeight="1" x14ac:dyDescent="0.2">
      <c r="A30" s="4" t="s">
        <v>13</v>
      </c>
      <c r="G30" s="4"/>
      <c r="H30" s="4"/>
      <c r="I30" s="4"/>
      <c r="J30" s="4"/>
      <c r="K30" s="4" t="s">
        <v>13</v>
      </c>
      <c r="L30" s="4"/>
      <c r="M30" s="4"/>
      <c r="N30" s="111"/>
    </row>
    <row r="31" spans="1:20" ht="10.5" customHeight="1" x14ac:dyDescent="0.2">
      <c r="A31" s="4" t="s">
        <v>4</v>
      </c>
      <c r="H31" s="4"/>
      <c r="I31" s="4"/>
      <c r="J31" s="4"/>
      <c r="K31" s="4" t="s">
        <v>4</v>
      </c>
      <c r="L31" s="4"/>
      <c r="M31" s="4"/>
      <c r="N31" s="111"/>
    </row>
    <row r="32" spans="1:20" x14ac:dyDescent="0.2">
      <c r="Q32" t="s">
        <v>27</v>
      </c>
    </row>
  </sheetData>
  <mergeCells count="11">
    <mergeCell ref="A28:J28"/>
    <mergeCell ref="K28:Q28"/>
    <mergeCell ref="O7:Q7"/>
    <mergeCell ref="A6:A8"/>
    <mergeCell ref="L7:N7"/>
    <mergeCell ref="H7:J7"/>
    <mergeCell ref="E7:G7"/>
    <mergeCell ref="B7:D7"/>
    <mergeCell ref="B6:J6"/>
    <mergeCell ref="K6:K8"/>
    <mergeCell ref="L6:Q6"/>
  </mergeCells>
  <pageMargins left="0.78740157480314965" right="0.78740157480314965" top="0.98425196850393704" bottom="0.98425196850393704" header="0.51181102362204722" footer="0.51181102362204722"/>
  <pageSetup paperSize="9" orientation="portrait" useFirstPageNumber="1" horizontalDpi="4294967292" verticalDpi="4294967292" r:id="rId1"/>
  <headerFooter alignWithMargins="0">
    <oddHeader>&amp;C&amp;"Optimum,Fett"&amp;9&amp;P</oddHeader>
    <oddFooter>&amp;C&amp;7© Statistisches Landesamt des Freistaates Sachsen  -  Z III 1 - j/20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31"/>
  <sheetViews>
    <sheetView zoomScaleNormal="100" zoomScaleSheetLayoutView="100" workbookViewId="0"/>
  </sheetViews>
  <sheetFormatPr baseColWidth="10" defaultColWidth="13.85546875" defaultRowHeight="12.75" x14ac:dyDescent="0.2"/>
  <cols>
    <col min="1" max="1" width="17.85546875" style="1" customWidth="1"/>
    <col min="2" max="2" width="8.140625" style="1" customWidth="1"/>
    <col min="3" max="3" width="8.7109375" style="1" customWidth="1"/>
    <col min="4" max="4" width="6.28515625" style="1" customWidth="1"/>
    <col min="5" max="5" width="8.7109375" style="1" customWidth="1"/>
    <col min="6" max="6" width="8.5703125" style="1" customWidth="1"/>
    <col min="7" max="7" width="6" style="1" customWidth="1"/>
    <col min="8" max="9" width="6.28515625" style="1" customWidth="1"/>
    <col min="10" max="10" width="5.85546875" style="1" customWidth="1"/>
    <col min="11" max="11" width="20.85546875" style="1" customWidth="1"/>
    <col min="12" max="13" width="11" customWidth="1"/>
    <col min="14" max="14" width="11" style="17" customWidth="1"/>
    <col min="15" max="17" width="11" customWidth="1"/>
  </cols>
  <sheetData>
    <row r="1" spans="1:17" ht="12.4" customHeight="1" x14ac:dyDescent="0.2"/>
    <row r="2" spans="1:17" ht="12.4" customHeight="1" x14ac:dyDescent="0.2"/>
    <row r="3" spans="1:17" ht="12.4" customHeight="1" x14ac:dyDescent="0.2"/>
    <row r="4" spans="1:17" ht="12.4" customHeight="1" x14ac:dyDescent="0.2">
      <c r="A4" s="2"/>
      <c r="B4" s="2"/>
      <c r="C4" s="2"/>
      <c r="D4" s="2"/>
      <c r="E4" s="2"/>
      <c r="F4" s="2"/>
      <c r="K4" s="2"/>
    </row>
    <row r="5" spans="1:17" ht="12.4" customHeight="1" x14ac:dyDescent="0.2">
      <c r="A5" s="148"/>
      <c r="B5" s="148"/>
      <c r="C5" s="148"/>
      <c r="D5" s="148"/>
      <c r="E5" s="148"/>
      <c r="F5" s="148"/>
      <c r="K5" s="148"/>
    </row>
    <row r="6" spans="1:17" s="4" customFormat="1" ht="20.100000000000001" customHeight="1" x14ac:dyDescent="0.2">
      <c r="A6" s="177" t="s">
        <v>32</v>
      </c>
      <c r="B6" s="175" t="s">
        <v>16</v>
      </c>
      <c r="C6" s="176"/>
      <c r="D6" s="176"/>
      <c r="E6" s="176"/>
      <c r="F6" s="176"/>
      <c r="G6" s="176"/>
      <c r="H6" s="176"/>
      <c r="I6" s="176"/>
      <c r="J6" s="176"/>
      <c r="K6" s="177" t="s">
        <v>32</v>
      </c>
      <c r="L6" s="175" t="s">
        <v>16</v>
      </c>
      <c r="M6" s="176"/>
      <c r="N6" s="176"/>
      <c r="O6" s="176"/>
      <c r="P6" s="176"/>
      <c r="Q6" s="176"/>
    </row>
    <row r="7" spans="1:17" s="4" customFormat="1" ht="25.5" customHeight="1" x14ac:dyDescent="0.2">
      <c r="A7" s="178"/>
      <c r="B7" s="182" t="s">
        <v>0</v>
      </c>
      <c r="C7" s="183"/>
      <c r="D7" s="184"/>
      <c r="E7" s="181" t="s">
        <v>1</v>
      </c>
      <c r="F7" s="180"/>
      <c r="G7" s="179"/>
      <c r="H7" s="181" t="s">
        <v>14</v>
      </c>
      <c r="I7" s="180"/>
      <c r="J7" s="180"/>
      <c r="K7" s="178"/>
      <c r="L7" s="180" t="s">
        <v>15</v>
      </c>
      <c r="M7" s="180"/>
      <c r="N7" s="179"/>
      <c r="O7" s="175" t="s">
        <v>19</v>
      </c>
      <c r="P7" s="176"/>
      <c r="Q7" s="176"/>
    </row>
    <row r="8" spans="1:17" s="4" customFormat="1" ht="31.9" customHeight="1" x14ac:dyDescent="0.2">
      <c r="A8" s="179"/>
      <c r="B8" s="19" t="s">
        <v>18</v>
      </c>
      <c r="C8" s="129" t="s">
        <v>17</v>
      </c>
      <c r="D8" s="29" t="s">
        <v>2</v>
      </c>
      <c r="E8" s="19" t="s">
        <v>18</v>
      </c>
      <c r="F8" s="129" t="s">
        <v>17</v>
      </c>
      <c r="G8" s="16" t="s">
        <v>2</v>
      </c>
      <c r="H8" s="19" t="s">
        <v>18</v>
      </c>
      <c r="I8" s="129" t="s">
        <v>17</v>
      </c>
      <c r="J8" s="20" t="s">
        <v>2</v>
      </c>
      <c r="K8" s="179"/>
      <c r="L8" s="129" t="s">
        <v>18</v>
      </c>
      <c r="M8" s="129" t="s">
        <v>17</v>
      </c>
      <c r="N8" s="21" t="s">
        <v>2</v>
      </c>
      <c r="O8" s="19" t="s">
        <v>18</v>
      </c>
      <c r="P8" s="129" t="s">
        <v>17</v>
      </c>
      <c r="Q8" s="30" t="s">
        <v>2</v>
      </c>
    </row>
    <row r="9" spans="1:17" s="4" customFormat="1" ht="21.4" customHeight="1" x14ac:dyDescent="0.2">
      <c r="A9" s="99" t="s">
        <v>5</v>
      </c>
      <c r="B9" s="22">
        <v>8159</v>
      </c>
      <c r="C9" s="23">
        <v>3794</v>
      </c>
      <c r="D9" s="146">
        <v>46.5</v>
      </c>
      <c r="E9" s="23">
        <v>5520</v>
      </c>
      <c r="F9" s="23">
        <v>3248</v>
      </c>
      <c r="G9" s="146">
        <v>58.84</v>
      </c>
      <c r="H9" s="23">
        <v>945</v>
      </c>
      <c r="I9" s="23">
        <v>587</v>
      </c>
      <c r="J9" s="146">
        <v>62.12</v>
      </c>
      <c r="K9" s="99" t="s">
        <v>5</v>
      </c>
      <c r="L9" s="124">
        <v>499</v>
      </c>
      <c r="M9" s="124">
        <v>118</v>
      </c>
      <c r="N9" s="144">
        <v>23.65</v>
      </c>
      <c r="O9" s="143">
        <v>0</v>
      </c>
      <c r="P9" s="143">
        <v>0</v>
      </c>
      <c r="Q9" s="142">
        <v>0</v>
      </c>
    </row>
    <row r="10" spans="1:17" s="4" customFormat="1" ht="19.5" customHeight="1" x14ac:dyDescent="0.2">
      <c r="A10" s="97" t="s">
        <v>20</v>
      </c>
      <c r="B10" s="24">
        <v>12445</v>
      </c>
      <c r="C10" s="147">
        <v>5961</v>
      </c>
      <c r="D10" s="146">
        <v>47.9</v>
      </c>
      <c r="E10" s="147">
        <v>11134</v>
      </c>
      <c r="F10" s="147">
        <v>3152</v>
      </c>
      <c r="G10" s="146">
        <v>28.31</v>
      </c>
      <c r="H10" s="147">
        <v>3696</v>
      </c>
      <c r="I10" s="147">
        <v>1267</v>
      </c>
      <c r="J10" s="146">
        <v>34.28</v>
      </c>
      <c r="K10" s="97" t="s">
        <v>20</v>
      </c>
      <c r="L10" s="124">
        <v>1002</v>
      </c>
      <c r="M10" s="124">
        <v>111</v>
      </c>
      <c r="N10" s="144">
        <v>11.08</v>
      </c>
      <c r="O10" s="143">
        <v>0</v>
      </c>
      <c r="P10" s="143">
        <v>0</v>
      </c>
      <c r="Q10" s="142">
        <v>0</v>
      </c>
    </row>
    <row r="11" spans="1:17" s="4" customFormat="1" ht="14.25" customHeight="1" x14ac:dyDescent="0.2">
      <c r="A11" s="97" t="s">
        <v>21</v>
      </c>
      <c r="B11" s="24">
        <v>12711</v>
      </c>
      <c r="C11" s="147">
        <v>5681</v>
      </c>
      <c r="D11" s="146">
        <v>44.69</v>
      </c>
      <c r="E11" s="147">
        <v>9218</v>
      </c>
      <c r="F11" s="147">
        <v>2675</v>
      </c>
      <c r="G11" s="146">
        <v>29.02</v>
      </c>
      <c r="H11" s="147">
        <v>3844</v>
      </c>
      <c r="I11" s="147">
        <v>366</v>
      </c>
      <c r="J11" s="146">
        <v>9.52</v>
      </c>
      <c r="K11" s="97" t="s">
        <v>21</v>
      </c>
      <c r="L11" s="124">
        <v>1446</v>
      </c>
      <c r="M11" s="124">
        <v>286</v>
      </c>
      <c r="N11" s="144">
        <v>19.78</v>
      </c>
      <c r="O11" s="143">
        <v>115</v>
      </c>
      <c r="P11" s="143">
        <v>115</v>
      </c>
      <c r="Q11" s="142">
        <v>100</v>
      </c>
    </row>
    <row r="12" spans="1:17" s="4" customFormat="1" ht="14.25" customHeight="1" x14ac:dyDescent="0.2">
      <c r="A12" s="97" t="s">
        <v>6</v>
      </c>
      <c r="B12" s="24">
        <v>8185</v>
      </c>
      <c r="C12" s="147">
        <v>5151</v>
      </c>
      <c r="D12" s="146">
        <v>62.93</v>
      </c>
      <c r="E12" s="147">
        <v>7427</v>
      </c>
      <c r="F12" s="147">
        <v>3951</v>
      </c>
      <c r="G12" s="146">
        <v>53.2</v>
      </c>
      <c r="H12" s="147">
        <v>3272</v>
      </c>
      <c r="I12" s="147">
        <v>155</v>
      </c>
      <c r="J12" s="146">
        <v>4.74</v>
      </c>
      <c r="K12" s="97" t="s">
        <v>6</v>
      </c>
      <c r="L12" s="124">
        <v>889</v>
      </c>
      <c r="M12" s="124">
        <v>185</v>
      </c>
      <c r="N12" s="144">
        <v>20.81</v>
      </c>
      <c r="O12" s="143">
        <v>0</v>
      </c>
      <c r="P12" s="143">
        <v>0</v>
      </c>
      <c r="Q12" s="142">
        <v>0</v>
      </c>
    </row>
    <row r="13" spans="1:17" s="4" customFormat="1" ht="14.25" customHeight="1" x14ac:dyDescent="0.2">
      <c r="A13" s="97" t="s">
        <v>22</v>
      </c>
      <c r="B13" s="24">
        <v>11830</v>
      </c>
      <c r="C13" s="147">
        <v>5390</v>
      </c>
      <c r="D13" s="146">
        <v>45.56</v>
      </c>
      <c r="E13" s="147">
        <v>10052</v>
      </c>
      <c r="F13" s="147">
        <v>2693</v>
      </c>
      <c r="G13" s="146">
        <v>26.79</v>
      </c>
      <c r="H13" s="147">
        <v>4219</v>
      </c>
      <c r="I13" s="147">
        <v>694</v>
      </c>
      <c r="J13" s="146">
        <v>16.45</v>
      </c>
      <c r="K13" s="97" t="s">
        <v>22</v>
      </c>
      <c r="L13" s="124">
        <v>1299</v>
      </c>
      <c r="M13" s="124">
        <v>143</v>
      </c>
      <c r="N13" s="144">
        <v>11.01</v>
      </c>
      <c r="O13" s="143">
        <v>0</v>
      </c>
      <c r="P13" s="143">
        <v>0</v>
      </c>
      <c r="Q13" s="142">
        <v>0</v>
      </c>
    </row>
    <row r="14" spans="1:17" s="4" customFormat="1" ht="31.9" customHeight="1" x14ac:dyDescent="0.2">
      <c r="A14" s="26" t="s">
        <v>28</v>
      </c>
      <c r="B14" s="40">
        <v>53330</v>
      </c>
      <c r="C14" s="39">
        <v>25977</v>
      </c>
      <c r="D14" s="139">
        <v>48.71</v>
      </c>
      <c r="E14" s="140">
        <v>43351</v>
      </c>
      <c r="F14" s="140">
        <v>15719</v>
      </c>
      <c r="G14" s="139">
        <v>36.26</v>
      </c>
      <c r="H14" s="140">
        <v>15976</v>
      </c>
      <c r="I14" s="140">
        <v>3069</v>
      </c>
      <c r="J14" s="139">
        <v>19.21</v>
      </c>
      <c r="K14" s="26" t="s">
        <v>28</v>
      </c>
      <c r="L14" s="118">
        <v>5135</v>
      </c>
      <c r="M14" s="116">
        <v>843</v>
      </c>
      <c r="N14" s="135">
        <v>16.420000000000002</v>
      </c>
      <c r="O14" s="134">
        <v>115</v>
      </c>
      <c r="P14" s="134">
        <v>115</v>
      </c>
      <c r="Q14" s="133">
        <v>0</v>
      </c>
    </row>
    <row r="15" spans="1:17" s="4" customFormat="1" ht="19.5" customHeight="1" x14ac:dyDescent="0.2">
      <c r="A15" s="97" t="s">
        <v>7</v>
      </c>
      <c r="B15" s="24">
        <v>30356</v>
      </c>
      <c r="C15" s="147">
        <v>23483</v>
      </c>
      <c r="D15" s="146">
        <v>77.36</v>
      </c>
      <c r="E15" s="147">
        <v>20779</v>
      </c>
      <c r="F15" s="147">
        <v>16588</v>
      </c>
      <c r="G15" s="146">
        <v>79.83</v>
      </c>
      <c r="H15" s="147">
        <v>10094</v>
      </c>
      <c r="I15" s="147">
        <v>7190</v>
      </c>
      <c r="J15" s="146">
        <v>71.23</v>
      </c>
      <c r="K15" s="97" t="s">
        <v>7</v>
      </c>
      <c r="L15" s="123">
        <v>2174</v>
      </c>
      <c r="M15" s="124">
        <v>1649</v>
      </c>
      <c r="N15" s="144">
        <v>75.849999999999994</v>
      </c>
      <c r="O15" s="143">
        <v>0</v>
      </c>
      <c r="P15" s="143">
        <v>0</v>
      </c>
      <c r="Q15" s="142">
        <v>0</v>
      </c>
    </row>
    <row r="16" spans="1:17" s="4" customFormat="1" ht="19.5" customHeight="1" x14ac:dyDescent="0.2">
      <c r="A16" s="97" t="s">
        <v>8</v>
      </c>
      <c r="B16" s="24">
        <v>13366</v>
      </c>
      <c r="C16" s="147">
        <v>9287</v>
      </c>
      <c r="D16" s="146">
        <v>69.48</v>
      </c>
      <c r="E16" s="147">
        <v>11063</v>
      </c>
      <c r="F16" s="147">
        <v>7287</v>
      </c>
      <c r="G16" s="146">
        <v>65.87</v>
      </c>
      <c r="H16" s="147">
        <v>5320</v>
      </c>
      <c r="I16" s="147">
        <v>2609</v>
      </c>
      <c r="J16" s="146">
        <v>49.04</v>
      </c>
      <c r="K16" s="97" t="s">
        <v>8</v>
      </c>
      <c r="L16" s="123">
        <v>1306</v>
      </c>
      <c r="M16" s="124">
        <v>972</v>
      </c>
      <c r="N16" s="144">
        <v>74.430000000000007</v>
      </c>
      <c r="O16" s="143">
        <v>82</v>
      </c>
      <c r="P16" s="143">
        <v>82</v>
      </c>
      <c r="Q16" s="142">
        <v>100</v>
      </c>
    </row>
    <row r="17" spans="1:20" s="4" customFormat="1" ht="14.25" customHeight="1" x14ac:dyDescent="0.2">
      <c r="A17" s="97" t="s">
        <v>23</v>
      </c>
      <c r="B17" s="24">
        <v>9951</v>
      </c>
      <c r="C17" s="147">
        <v>6849</v>
      </c>
      <c r="D17" s="146">
        <v>68.83</v>
      </c>
      <c r="E17" s="147">
        <v>8127</v>
      </c>
      <c r="F17" s="147">
        <v>5041</v>
      </c>
      <c r="G17" s="146">
        <v>62.03</v>
      </c>
      <c r="H17" s="147">
        <v>2914</v>
      </c>
      <c r="I17" s="147">
        <v>1946</v>
      </c>
      <c r="J17" s="146">
        <v>66.78</v>
      </c>
      <c r="K17" s="97" t="s">
        <v>23</v>
      </c>
      <c r="L17" s="123">
        <v>1379</v>
      </c>
      <c r="M17" s="124">
        <v>972</v>
      </c>
      <c r="N17" s="144">
        <v>70.489999999999995</v>
      </c>
      <c r="O17" s="143">
        <v>0</v>
      </c>
      <c r="P17" s="143">
        <v>0</v>
      </c>
      <c r="Q17" s="142">
        <v>0</v>
      </c>
    </row>
    <row r="18" spans="1:20" s="4" customFormat="1" ht="14.25" customHeight="1" x14ac:dyDescent="0.2">
      <c r="A18" s="97" t="s">
        <v>9</v>
      </c>
      <c r="B18" s="24">
        <v>10412</v>
      </c>
      <c r="C18" s="147">
        <v>7501</v>
      </c>
      <c r="D18" s="146">
        <v>72.040000000000006</v>
      </c>
      <c r="E18" s="147">
        <v>7409</v>
      </c>
      <c r="F18" s="147">
        <v>2931</v>
      </c>
      <c r="G18" s="146">
        <v>39.56</v>
      </c>
      <c r="H18" s="147">
        <v>2157</v>
      </c>
      <c r="I18" s="147">
        <v>994</v>
      </c>
      <c r="J18" s="146">
        <v>46.08</v>
      </c>
      <c r="K18" s="97" t="s">
        <v>9</v>
      </c>
      <c r="L18" s="123">
        <v>891</v>
      </c>
      <c r="M18" s="124">
        <v>294</v>
      </c>
      <c r="N18" s="144">
        <v>33</v>
      </c>
      <c r="O18" s="143">
        <v>0</v>
      </c>
      <c r="P18" s="143">
        <v>0</v>
      </c>
      <c r="Q18" s="142">
        <v>0</v>
      </c>
    </row>
    <row r="19" spans="1:20" s="4" customFormat="1" ht="24" customHeight="1" x14ac:dyDescent="0.2">
      <c r="A19" s="96" t="s">
        <v>24</v>
      </c>
      <c r="B19" s="24">
        <v>10742</v>
      </c>
      <c r="C19" s="147">
        <v>5589</v>
      </c>
      <c r="D19" s="146">
        <v>52.03</v>
      </c>
      <c r="E19" s="147">
        <v>9027</v>
      </c>
      <c r="F19" s="147">
        <v>4209</v>
      </c>
      <c r="G19" s="146">
        <v>46.63</v>
      </c>
      <c r="H19" s="147">
        <v>3743</v>
      </c>
      <c r="I19" s="147">
        <v>2027</v>
      </c>
      <c r="J19" s="146">
        <v>54.15</v>
      </c>
      <c r="K19" s="96" t="s">
        <v>24</v>
      </c>
      <c r="L19" s="123">
        <v>1175</v>
      </c>
      <c r="M19" s="124">
        <v>466</v>
      </c>
      <c r="N19" s="144">
        <v>39.659999999999997</v>
      </c>
      <c r="O19" s="143">
        <v>67</v>
      </c>
      <c r="P19" s="143">
        <v>67</v>
      </c>
      <c r="Q19" s="142">
        <v>100</v>
      </c>
    </row>
    <row r="20" spans="1:20" s="4" customFormat="1" ht="31.9" customHeight="1" x14ac:dyDescent="0.2">
      <c r="A20" s="141" t="s">
        <v>29</v>
      </c>
      <c r="B20" s="40">
        <v>74827</v>
      </c>
      <c r="C20" s="39">
        <v>52709</v>
      </c>
      <c r="D20" s="139">
        <v>70.44</v>
      </c>
      <c r="E20" s="140">
        <v>56405</v>
      </c>
      <c r="F20" s="140">
        <v>36056</v>
      </c>
      <c r="G20" s="139">
        <v>63.92</v>
      </c>
      <c r="H20" s="140">
        <v>24228</v>
      </c>
      <c r="I20" s="140">
        <v>14766</v>
      </c>
      <c r="J20" s="139">
        <v>60.95</v>
      </c>
      <c r="K20" s="141" t="s">
        <v>29</v>
      </c>
      <c r="L20" s="118">
        <v>6925</v>
      </c>
      <c r="M20" s="116">
        <v>4353</v>
      </c>
      <c r="N20" s="135">
        <v>62.86</v>
      </c>
      <c r="O20" s="134">
        <v>149</v>
      </c>
      <c r="P20" s="134">
        <v>149</v>
      </c>
      <c r="Q20" s="133">
        <v>100</v>
      </c>
    </row>
    <row r="21" spans="1:20" s="4" customFormat="1" ht="19.5" customHeight="1" x14ac:dyDescent="0.2">
      <c r="A21" s="145" t="s">
        <v>10</v>
      </c>
      <c r="B21" s="24">
        <v>28730</v>
      </c>
      <c r="C21" s="147">
        <v>18928</v>
      </c>
      <c r="D21" s="146">
        <v>65.88</v>
      </c>
      <c r="E21" s="147">
        <v>19135</v>
      </c>
      <c r="F21" s="147">
        <v>12045</v>
      </c>
      <c r="G21" s="146">
        <v>62.95</v>
      </c>
      <c r="H21" s="147">
        <v>7385</v>
      </c>
      <c r="I21" s="147">
        <v>2763</v>
      </c>
      <c r="J21" s="146">
        <v>37.409999999999997</v>
      </c>
      <c r="K21" s="145" t="s">
        <v>10</v>
      </c>
      <c r="L21" s="123">
        <v>2820</v>
      </c>
      <c r="M21" s="124">
        <v>1509</v>
      </c>
      <c r="N21" s="144">
        <v>53.51</v>
      </c>
      <c r="O21" s="143">
        <v>37</v>
      </c>
      <c r="P21" s="143">
        <v>37</v>
      </c>
      <c r="Q21" s="142">
        <v>100</v>
      </c>
    </row>
    <row r="22" spans="1:20" s="4" customFormat="1" ht="19.5" customHeight="1" x14ac:dyDescent="0.2">
      <c r="A22" s="145" t="s">
        <v>25</v>
      </c>
      <c r="B22" s="24">
        <v>11116</v>
      </c>
      <c r="C22" s="147">
        <v>6357</v>
      </c>
      <c r="D22" s="146">
        <v>57.19</v>
      </c>
      <c r="E22" s="147">
        <v>8361</v>
      </c>
      <c r="F22" s="147">
        <v>4634</v>
      </c>
      <c r="G22" s="146">
        <v>55.42</v>
      </c>
      <c r="H22" s="147">
        <v>3596</v>
      </c>
      <c r="I22" s="147">
        <v>1678</v>
      </c>
      <c r="J22" s="146">
        <v>46.66</v>
      </c>
      <c r="K22" s="145" t="s">
        <v>25</v>
      </c>
      <c r="L22" s="123">
        <v>539</v>
      </c>
      <c r="M22" s="124">
        <v>244</v>
      </c>
      <c r="N22" s="144">
        <v>45.27</v>
      </c>
      <c r="O22" s="143">
        <v>0</v>
      </c>
      <c r="P22" s="143">
        <v>0</v>
      </c>
      <c r="Q22" s="142">
        <v>0</v>
      </c>
    </row>
    <row r="23" spans="1:20" s="4" customFormat="1" ht="14.25" customHeight="1" x14ac:dyDescent="0.2">
      <c r="A23" s="145" t="s">
        <v>26</v>
      </c>
      <c r="B23" s="24">
        <v>7950</v>
      </c>
      <c r="C23" s="147">
        <v>5283</v>
      </c>
      <c r="D23" s="146">
        <v>66.45</v>
      </c>
      <c r="E23" s="147">
        <v>5571</v>
      </c>
      <c r="F23" s="147">
        <v>2815</v>
      </c>
      <c r="G23" s="146">
        <v>50.53</v>
      </c>
      <c r="H23" s="147">
        <v>1463</v>
      </c>
      <c r="I23" s="147">
        <v>350</v>
      </c>
      <c r="J23" s="146">
        <v>23.92</v>
      </c>
      <c r="K23" s="145" t="s">
        <v>26</v>
      </c>
      <c r="L23" s="123">
        <v>386</v>
      </c>
      <c r="M23" s="124">
        <v>152</v>
      </c>
      <c r="N23" s="144">
        <v>39.380000000000003</v>
      </c>
      <c r="O23" s="143">
        <v>0</v>
      </c>
      <c r="P23" s="143">
        <v>0</v>
      </c>
      <c r="Q23" s="142">
        <v>0</v>
      </c>
    </row>
    <row r="24" spans="1:20" s="4" customFormat="1" ht="31.9" customHeight="1" x14ac:dyDescent="0.2">
      <c r="A24" s="141" t="s">
        <v>30</v>
      </c>
      <c r="B24" s="40">
        <v>47796</v>
      </c>
      <c r="C24" s="39">
        <v>30568</v>
      </c>
      <c r="D24" s="139">
        <v>63.96</v>
      </c>
      <c r="E24" s="140">
        <v>33067</v>
      </c>
      <c r="F24" s="140">
        <v>19494</v>
      </c>
      <c r="G24" s="139">
        <v>58.95</v>
      </c>
      <c r="H24" s="140">
        <v>12444</v>
      </c>
      <c r="I24" s="140">
        <v>4791</v>
      </c>
      <c r="J24" s="139">
        <v>38.5</v>
      </c>
      <c r="K24" s="141" t="s">
        <v>30</v>
      </c>
      <c r="L24" s="118">
        <v>3745</v>
      </c>
      <c r="M24" s="116">
        <v>1905</v>
      </c>
      <c r="N24" s="135">
        <v>50.87</v>
      </c>
      <c r="O24" s="134">
        <v>37</v>
      </c>
      <c r="P24" s="134">
        <v>37</v>
      </c>
      <c r="Q24" s="133">
        <v>100</v>
      </c>
    </row>
    <row r="25" spans="1:20" s="4" customFormat="1" ht="28.5" customHeight="1" x14ac:dyDescent="0.2">
      <c r="A25" s="138" t="s">
        <v>11</v>
      </c>
      <c r="B25" s="40">
        <v>175953</v>
      </c>
      <c r="C25" s="39">
        <v>109254</v>
      </c>
      <c r="D25" s="139">
        <v>62.09</v>
      </c>
      <c r="E25" s="140">
        <v>132823</v>
      </c>
      <c r="F25" s="140">
        <v>71269</v>
      </c>
      <c r="G25" s="139">
        <v>53.66</v>
      </c>
      <c r="H25" s="140">
        <v>52648</v>
      </c>
      <c r="I25" s="140">
        <v>22626</v>
      </c>
      <c r="J25" s="139">
        <v>42.98</v>
      </c>
      <c r="K25" s="138" t="s">
        <v>11</v>
      </c>
      <c r="L25" s="137">
        <v>15805</v>
      </c>
      <c r="M25" s="136">
        <v>7101</v>
      </c>
      <c r="N25" s="135">
        <v>44.93</v>
      </c>
      <c r="O25" s="134">
        <v>301</v>
      </c>
      <c r="P25" s="134">
        <v>301</v>
      </c>
      <c r="Q25" s="133">
        <v>100</v>
      </c>
    </row>
    <row r="26" spans="1:20" ht="12.75" customHeight="1" x14ac:dyDescent="0.2">
      <c r="A26" s="132"/>
      <c r="B26" s="13"/>
      <c r="C26" s="13"/>
      <c r="D26" s="14"/>
      <c r="E26" s="13"/>
      <c r="F26" s="13"/>
      <c r="G26" s="12"/>
      <c r="H26" s="13"/>
      <c r="I26" s="13"/>
      <c r="J26" s="15"/>
      <c r="K26" s="132"/>
      <c r="L26" s="13"/>
      <c r="M26" s="13"/>
      <c r="N26" s="10"/>
      <c r="Q26" s="131"/>
    </row>
    <row r="27" spans="1:20" ht="12.75" customHeight="1" x14ac:dyDescent="0.2">
      <c r="A27" s="1" t="s">
        <v>12</v>
      </c>
      <c r="J27" s="11"/>
      <c r="K27" s="1" t="s">
        <v>12</v>
      </c>
    </row>
    <row r="28" spans="1:20" ht="21.4" customHeight="1" x14ac:dyDescent="0.2">
      <c r="A28" s="174" t="s">
        <v>31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 t="s">
        <v>31</v>
      </c>
      <c r="L28" s="174"/>
      <c r="M28" s="174"/>
      <c r="N28" s="174"/>
      <c r="O28" s="174"/>
      <c r="P28" s="174"/>
      <c r="Q28" s="174"/>
      <c r="R28" s="114"/>
      <c r="S28" s="114"/>
      <c r="T28" s="114"/>
    </row>
    <row r="29" spans="1:20" ht="10.5" customHeight="1" x14ac:dyDescent="0.2">
      <c r="A29" s="4" t="s">
        <v>3</v>
      </c>
      <c r="G29" s="113"/>
      <c r="H29" s="112"/>
      <c r="I29" s="112"/>
      <c r="J29" s="4"/>
      <c r="K29" s="4" t="s">
        <v>3</v>
      </c>
      <c r="L29" s="4"/>
      <c r="M29" s="4"/>
      <c r="N29" s="111"/>
    </row>
    <row r="30" spans="1:20" ht="10.5" customHeight="1" x14ac:dyDescent="0.2">
      <c r="A30" s="4" t="s">
        <v>13</v>
      </c>
      <c r="G30" s="4"/>
      <c r="H30" s="4"/>
      <c r="I30" s="4"/>
      <c r="J30" s="4"/>
      <c r="K30" s="4" t="s">
        <v>13</v>
      </c>
      <c r="L30" s="4"/>
      <c r="M30" s="4"/>
      <c r="N30" s="111"/>
    </row>
    <row r="31" spans="1:20" ht="10.5" customHeight="1" x14ac:dyDescent="0.2">
      <c r="A31" s="4" t="s">
        <v>4</v>
      </c>
      <c r="H31" s="4"/>
      <c r="I31" s="4"/>
      <c r="J31" s="4"/>
      <c r="K31" s="4" t="s">
        <v>4</v>
      </c>
      <c r="L31" s="4"/>
      <c r="M31" s="4"/>
      <c r="N31" s="111"/>
    </row>
  </sheetData>
  <mergeCells count="11">
    <mergeCell ref="A28:J28"/>
    <mergeCell ref="K28:Q28"/>
    <mergeCell ref="O7:Q7"/>
    <mergeCell ref="A6:A8"/>
    <mergeCell ref="L7:N7"/>
    <mergeCell ref="H7:J7"/>
    <mergeCell ref="E7:G7"/>
    <mergeCell ref="B7:D7"/>
    <mergeCell ref="B6:J6"/>
    <mergeCell ref="K6:K8"/>
    <mergeCell ref="L6:Q6"/>
  </mergeCells>
  <pageMargins left="0.78740157480314965" right="0.78740157480314965" top="0.98425196850393704" bottom="0.98425196850393704" header="0.51181102362204722" footer="0.51181102362204722"/>
  <pageSetup paperSize="9" orientation="portrait" useFirstPageNumber="1" horizontalDpi="4294967292" verticalDpi="4294967292" r:id="rId1"/>
  <headerFooter alignWithMargins="0">
    <oddHeader>&amp;C&amp;"Optimum,Fett"&amp;9&amp;P</oddHeader>
    <oddFooter>&amp;C&amp;7© Statistisches Landesamt des Freistaates Sachsen  -  Z III 1 - j/21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07_10_2013-14</vt:lpstr>
      <vt:lpstr>07_10_2014-15</vt:lpstr>
      <vt:lpstr>07_10_2015-16</vt:lpstr>
      <vt:lpstr>07_10_2016-17</vt:lpstr>
      <vt:lpstr>07_10_2017-18</vt:lpstr>
      <vt:lpstr>07_10_2018-19</vt:lpstr>
      <vt:lpstr>07_10_2019-20</vt:lpstr>
      <vt:lpstr>07_10_2020-21</vt:lpstr>
      <vt:lpstr>07_10_2021-22</vt:lpstr>
      <vt:lpstr>07_10_2022-23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7.10  Anteil der durch Karies-Prophylaxemaßnahmen in der Gruppenprophylaxe erreichten Kinder in Sachsen nach Kreisfreien Städten und Landkreisen sowie Einrichtungstyp</dc:title>
  <dc:subject>Gesundheitsbericherstattung</dc:subject>
  <dc:creator>Statistisches Landesamt des Freistaates Sachsen</dc:creator>
  <cp:keywords>Karies-Prophylaxemaßnahmen Gruppenprophylaxe</cp:keywords>
  <dc:description/>
  <cp:lastModifiedBy>Statistisches Landesamt des Freistaates Sachsen</cp:lastModifiedBy>
  <cp:lastPrinted>2013-02-13T09:40:22Z</cp:lastPrinted>
  <dcterms:created xsi:type="dcterms:W3CDTF">2000-12-18T07:55:36Z</dcterms:created>
  <dcterms:modified xsi:type="dcterms:W3CDTF">2024-03-06T07:38:49Z</dcterms:modified>
  <cp:category>Internettabellen</cp:category>
  <cp:contentStatus>nicht barrierefrei</cp:contentStatus>
</cp:coreProperties>
</file>